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ylinschulzvanendert/Desktop/UNDP Innovation HQ/05 IF recipients/Fund management/"/>
    </mc:Choice>
  </mc:AlternateContent>
  <xr:revisionPtr revIDLastSave="0" documentId="8_{3F5893EA-80F9-5C4D-8E6B-014A23BC22B3}" xr6:coauthVersionLast="43" xr6:coauthVersionMax="43" xr10:uidLastSave="{00000000-0000-0000-0000-000000000000}"/>
  <bookViews>
    <workbookView xWindow="0" yWindow="460" windowWidth="28800" windowHeight="16620" activeTab="2" xr2:uid="{2BD48EDF-932B-4BD6-8BDB-3E4A8EF7EF0C}"/>
  </bookViews>
  <sheets>
    <sheet name="2020 initial Budget" sheetId="4" r:id="rId1"/>
    <sheet name="Summary" sheetId="5" r:id="rId2"/>
    <sheet name="Cash Flow and Balance 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'2020 initial Budget'!$A$7:$AA$19</definedName>
    <definedName name="am_2019">'[1]Staff Cost &amp; COA working'!$D$106</definedName>
    <definedName name="CAT_2020">'[1]2020 Staff costs and COA'!$E$69</definedName>
    <definedName name="Cost_Alice">'[1]Staff Cost &amp; COA working'!$B$88</definedName>
    <definedName name="Cost_Tasneem">'[1]Staff Cost &amp; COA working'!$B$93</definedName>
    <definedName name="EXRATE">'[2]Loan to SDG campaign'!$F$1</definedName>
    <definedName name="gms_">[3]PTTF!$E$2</definedName>
    <definedName name="monthly">'[3]P2 Cost Distribution'!$D$5</definedName>
    <definedName name="PM_2020">'[1]2020 Staff costs and COA'!$C$49</definedName>
    <definedName name="_xlnm.Print_Area" localSheetId="0">'2020 initial Budget'!$A$1:$M$51</definedName>
    <definedName name="pyr_17_18">'[4]P2 Cost Distribution '!$H$86</definedName>
    <definedName name="pyr_2017">'[4]P2 Cost Distribution '!$C$86</definedName>
    <definedName name="pyr_2018">'[4]P2 Cost Distribution '!$F$86</definedName>
    <definedName name="rate">'[3]UNESCO clearance'!$G$49</definedName>
    <definedName name="SV_2020">'[1]2020 Staff costs and COA'!$C$56</definedName>
    <definedName name="total_cost">'[4]P2 Cost Distribution '!$C$5</definedName>
    <definedName name="total_prorf">'[3]P2 Cost Distribution'!$C$5</definedName>
  </definedNames>
  <calcPr calcId="191029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1" i="4" l="1"/>
  <c r="G51" i="4"/>
  <c r="F51" i="4"/>
  <c r="I50" i="4"/>
  <c r="I49" i="4"/>
  <c r="J45" i="4"/>
  <c r="K44" i="4"/>
  <c r="L44" i="4" s="1"/>
  <c r="K43" i="4"/>
  <c r="L43" i="4" s="1"/>
  <c r="K34" i="4"/>
  <c r="L34" i="4" s="1"/>
  <c r="K33" i="4"/>
  <c r="L33" i="4" s="1"/>
  <c r="J32" i="4"/>
  <c r="J35" i="4" s="1"/>
  <c r="K31" i="4"/>
  <c r="L31" i="4" s="1"/>
  <c r="K30" i="4"/>
  <c r="L30" i="4" s="1"/>
  <c r="K29" i="4"/>
  <c r="L29" i="4" s="1"/>
  <c r="F26" i="4"/>
  <c r="K19" i="4"/>
  <c r="L19" i="4" s="1"/>
  <c r="J18" i="4"/>
  <c r="K18" i="4" s="1"/>
  <c r="L18" i="4" s="1"/>
  <c r="K17" i="4"/>
  <c r="L17" i="4" s="1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J10" i="4"/>
  <c r="J20" i="4" s="1"/>
  <c r="K9" i="4"/>
  <c r="L9" i="4" s="1"/>
  <c r="K8" i="4"/>
  <c r="L8" i="4" s="1"/>
  <c r="G5" i="4"/>
  <c r="K45" i="4" l="1"/>
  <c r="I51" i="4"/>
  <c r="L45" i="4"/>
  <c r="K10" i="4"/>
  <c r="K20" i="4" s="1"/>
  <c r="K32" i="4"/>
  <c r="L32" i="4" s="1"/>
  <c r="L35" i="4" s="1"/>
  <c r="E42" i="3"/>
  <c r="E43" i="3" s="1"/>
  <c r="E35" i="3"/>
  <c r="E21" i="3"/>
  <c r="E26" i="3" s="1"/>
  <c r="E15" i="3"/>
  <c r="E14" i="3"/>
  <c r="F10" i="3"/>
  <c r="E10" i="3"/>
  <c r="D10" i="3"/>
  <c r="G9" i="3"/>
  <c r="E16" i="3" s="1"/>
  <c r="G8" i="3"/>
  <c r="G7" i="3"/>
  <c r="G10" i="3" s="1"/>
  <c r="L10" i="4" l="1"/>
  <c r="L20" i="4" s="1"/>
  <c r="K35" i="4"/>
  <c r="E18" i="3"/>
  <c r="E28" i="3" s="1"/>
  <c r="E45" i="3" s="1"/>
  <c r="E46" i="3" s="1"/>
</calcChain>
</file>

<file path=xl/sharedStrings.xml><?xml version="1.0" encoding="utf-8"?>
<sst xmlns="http://schemas.openxmlformats.org/spreadsheetml/2006/main" count="236" uniqueCount="101">
  <si>
    <t>2020 Innovation Facility Intitial Budget</t>
  </si>
  <si>
    <t>1. INNOVATION FACILITY BUDGET</t>
  </si>
  <si>
    <t>Estimated Rounded 2020 Initial Budget</t>
  </si>
  <si>
    <t xml:space="preserve">Project </t>
  </si>
  <si>
    <t>00081451</t>
  </si>
  <si>
    <t>Output</t>
  </si>
  <si>
    <t>Activity ID</t>
  </si>
  <si>
    <t>OU</t>
  </si>
  <si>
    <t>Dept</t>
  </si>
  <si>
    <t>Fund</t>
  </si>
  <si>
    <t>Donor</t>
  </si>
  <si>
    <t>IA</t>
  </si>
  <si>
    <t>Project Cost Account</t>
  </si>
  <si>
    <t>Project Cost Amount</t>
  </si>
  <si>
    <t>GMS (Account 75100)</t>
  </si>
  <si>
    <t>TOTAL</t>
  </si>
  <si>
    <t>Comment</t>
  </si>
  <si>
    <t>00090714</t>
  </si>
  <si>
    <t>H70</t>
  </si>
  <si>
    <t>B0286</t>
  </si>
  <si>
    <t>00095</t>
  </si>
  <si>
    <t>001981</t>
  </si>
  <si>
    <t>IF 2.0 investment in 4 - 6 COs</t>
  </si>
  <si>
    <t>00090713</t>
  </si>
  <si>
    <t>IF Fund Manager IC (fees, travel and incidentals)</t>
  </si>
  <si>
    <t>Annual Rent for IF Fund Manager and Analyst</t>
  </si>
  <si>
    <t>Travel</t>
  </si>
  <si>
    <t>Detailed assignment</t>
  </si>
  <si>
    <t>Regional Leads</t>
  </si>
  <si>
    <t>Intern Communication &amp; Learning</t>
  </si>
  <si>
    <t>Impact Hub Low Value Grant payment</t>
  </si>
  <si>
    <t>Buffer to cover over-expenditure by winning teams + regional innovation leads</t>
  </si>
  <si>
    <t>Global Initiatives</t>
  </si>
  <si>
    <t xml:space="preserve">2. First Mover 2020 Budget </t>
  </si>
  <si>
    <t>Total Funding for 2019-2020</t>
  </si>
  <si>
    <t>2019 Estimated Expenditure</t>
  </si>
  <si>
    <t xml:space="preserve">2020 Budget </t>
  </si>
  <si>
    <t>1ST_MOVER_SERB</t>
  </si>
  <si>
    <t>SRB</t>
  </si>
  <si>
    <t>B0586</t>
  </si>
  <si>
    <t>Rephasal of 2019 unspent budget</t>
  </si>
  <si>
    <t>Travel to Serbia from HQ</t>
  </si>
  <si>
    <t>1ST_MOVER_UZB</t>
  </si>
  <si>
    <t>Environmental consultant</t>
  </si>
  <si>
    <t>Activity 8</t>
  </si>
  <si>
    <t>Data Viz and Strategic Design Ics</t>
  </si>
  <si>
    <t>00096</t>
  </si>
  <si>
    <t>001982</t>
  </si>
  <si>
    <t>ACTIVITY8</t>
  </si>
  <si>
    <t>00097</t>
  </si>
  <si>
    <t>001983</t>
  </si>
  <si>
    <t>3. Additional allocations to the Country Offices/Other Units</t>
  </si>
  <si>
    <t>ACTIVITY1</t>
  </si>
  <si>
    <t>B0293</t>
  </si>
  <si>
    <t>SDN</t>
  </si>
  <si>
    <t>B0470</t>
  </si>
  <si>
    <t>Budget for Sudan advance clearance</t>
  </si>
  <si>
    <t>2020 Budget by Output</t>
  </si>
  <si>
    <t>First Movers</t>
  </si>
  <si>
    <t>IF</t>
  </si>
  <si>
    <t>Settlements</t>
  </si>
  <si>
    <t>Row Labels</t>
  </si>
  <si>
    <t>Sum of Project Cost Amount</t>
  </si>
  <si>
    <t>Sum of GMS (Account 75100)</t>
  </si>
  <si>
    <t>Grand Total</t>
  </si>
  <si>
    <t xml:space="preserve">Cash Flow Projections </t>
  </si>
  <si>
    <t>Innovation Facility</t>
  </si>
  <si>
    <t>as at January 13, 2020</t>
  </si>
  <si>
    <t>KK Breakdown of Balances</t>
  </si>
  <si>
    <t>Revenue</t>
  </si>
  <si>
    <t>Expenses</t>
  </si>
  <si>
    <t>Commitments</t>
  </si>
  <si>
    <t>KK Balances</t>
  </si>
  <si>
    <t>Current Cash Balances per KK ledger, Donor 00095</t>
  </si>
  <si>
    <t>Total Current Balance</t>
  </si>
  <si>
    <t>LESS: Outstanding Settlements and Allocations</t>
  </si>
  <si>
    <t>Allocation Balances in other Dept</t>
  </si>
  <si>
    <t>Estimated Balances to  take back</t>
  </si>
  <si>
    <t>Outstanding GMS</t>
  </si>
  <si>
    <t>Settlement for Analyst's position for Oct-Dec 2019</t>
  </si>
  <si>
    <t xml:space="preserve">Balance of Allocation for First Movers </t>
  </si>
  <si>
    <t>PROJECTED PROGRAMMABLE BALANCE as of January 1, 2020</t>
  </si>
  <si>
    <t>*</t>
  </si>
  <si>
    <t>* Only reflects current position and does not include future planned items reflected in prior cash flows</t>
  </si>
  <si>
    <t>LESS: Forthcoming HQ activities &amp; running cost Jan-Mar'20</t>
  </si>
  <si>
    <t>Fund Manager IC</t>
  </si>
  <si>
    <t>New Contract IF manager with provision for rent/travel</t>
  </si>
  <si>
    <t>Analyst</t>
  </si>
  <si>
    <t>Rent for Analyst Jan-Dec 2020 - collected at the beginning of the year</t>
  </si>
  <si>
    <t>Settlement for Analyst's position for Jan-Mar 2020</t>
  </si>
  <si>
    <t>Partnerships (Low Value Grants)</t>
  </si>
  <si>
    <t>Outstanding payment</t>
  </si>
  <si>
    <t>PS engagement</t>
  </si>
  <si>
    <t>Detailed Assignment</t>
  </si>
  <si>
    <t xml:space="preserve">Regional Leads </t>
  </si>
  <si>
    <t xml:space="preserve">Running GMS 8% </t>
  </si>
  <si>
    <t>Buffer for additional activities</t>
  </si>
  <si>
    <t>Additional Activities:</t>
  </si>
  <si>
    <t>Analyst' Support Jan-March 2020, 40%</t>
  </si>
  <si>
    <t>Buffer for other activities</t>
  </si>
  <si>
    <t>as at February 5,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</si>
</sst>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i/>
      <sz val="10"/>
      <color theme="8" tint="-0.499984740745262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4" fillId="0" borderId="0"/>
    <xf numFmtId="0" fontId="1" fillId="0" borderId="0"/>
  </cellStyleXfs>
  <cellXfs count="117">
    <xf numFmtId="0" fontId="0" fillId="0" borderId="0" xfId="0"/>
    <xf numFmtId="0" fontId="4" fillId="0" borderId="0" xfId="2" applyFont="1"/>
    <xf numFmtId="0" fontId="3" fillId="0" borderId="0" xfId="2"/>
    <xf numFmtId="0" fontId="3" fillId="0" borderId="0" xfId="2" applyAlignment="1">
      <alignment horizontal="left"/>
    </xf>
    <xf numFmtId="0" fontId="5" fillId="0" borderId="0" xfId="2" applyFont="1"/>
    <xf numFmtId="164" fontId="6" fillId="0" borderId="0" xfId="2" applyNumberFormat="1" applyFont="1"/>
    <xf numFmtId="0" fontId="7" fillId="0" borderId="0" xfId="2" applyFont="1"/>
    <xf numFmtId="0" fontId="8" fillId="0" borderId="0" xfId="2" applyFont="1"/>
    <xf numFmtId="0" fontId="9" fillId="0" borderId="0" xfId="2" applyFont="1"/>
    <xf numFmtId="0" fontId="10" fillId="2" borderId="0" xfId="2" applyFont="1" applyFill="1"/>
    <xf numFmtId="0" fontId="9" fillId="2" borderId="0" xfId="2" applyFont="1" applyFill="1"/>
    <xf numFmtId="165" fontId="10" fillId="2" borderId="0" xfId="3" applyNumberFormat="1" applyFont="1" applyFill="1"/>
    <xf numFmtId="165" fontId="9" fillId="0" borderId="0" xfId="2" applyNumberFormat="1" applyFont="1"/>
    <xf numFmtId="164" fontId="9" fillId="0" borderId="0" xfId="2" applyNumberFormat="1" applyFont="1"/>
    <xf numFmtId="0" fontId="9" fillId="0" borderId="0" xfId="2" applyFont="1" applyAlignment="1">
      <alignment horizontal="left"/>
    </xf>
    <xf numFmtId="0" fontId="11" fillId="0" borderId="0" xfId="2" applyFont="1"/>
    <xf numFmtId="0" fontId="12" fillId="0" borderId="0" xfId="0" quotePrefix="1" applyFont="1"/>
    <xf numFmtId="0" fontId="13" fillId="0" borderId="0" xfId="2" applyFont="1"/>
    <xf numFmtId="164" fontId="13" fillId="0" borderId="0" xfId="2" applyNumberFormat="1" applyFont="1"/>
    <xf numFmtId="0" fontId="13" fillId="0" borderId="0" xfId="2" applyFont="1" applyAlignment="1">
      <alignment horizontal="left"/>
    </xf>
    <xf numFmtId="0" fontId="10" fillId="3" borderId="1" xfId="4" applyFont="1" applyFill="1" applyBorder="1" applyAlignment="1">
      <alignment horizontal="center" vertical="center" wrapText="1"/>
    </xf>
    <xf numFmtId="164" fontId="10" fillId="3" borderId="1" xfId="3" applyFont="1" applyFill="1" applyBorder="1" applyAlignment="1">
      <alignment horizontal="center" vertical="center" wrapText="1"/>
    </xf>
    <xf numFmtId="164" fontId="10" fillId="3" borderId="1" xfId="3" applyFont="1" applyFill="1" applyBorder="1" applyAlignment="1">
      <alignment horizontal="left" vertical="center" wrapText="1"/>
    </xf>
    <xf numFmtId="0" fontId="15" fillId="0" borderId="0" xfId="5" applyFont="1"/>
    <xf numFmtId="0" fontId="16" fillId="0" borderId="0" xfId="2" applyFont="1" applyAlignment="1">
      <alignment horizontal="center" vertical="center" wrapText="1"/>
    </xf>
    <xf numFmtId="0" fontId="9" fillId="0" borderId="1" xfId="4" quotePrefix="1" applyFont="1" applyBorder="1" applyAlignment="1">
      <alignment horizontal="center"/>
    </xf>
    <xf numFmtId="0" fontId="9" fillId="0" borderId="1" xfId="1" quotePrefix="1" applyNumberFormat="1" applyFont="1" applyBorder="1" applyAlignment="1">
      <alignment horizontal="center"/>
    </xf>
    <xf numFmtId="0" fontId="9" fillId="0" borderId="1" xfId="4" applyFont="1" applyBorder="1" applyAlignment="1">
      <alignment horizontal="center"/>
    </xf>
    <xf numFmtId="164" fontId="9" fillId="0" borderId="1" xfId="3" quotePrefix="1" applyFont="1" applyBorder="1" applyAlignment="1">
      <alignment horizontal="center"/>
    </xf>
    <xf numFmtId="164" fontId="9" fillId="0" borderId="1" xfId="3" quotePrefix="1" applyFont="1" applyBorder="1" applyAlignment="1">
      <alignment horizontal="left"/>
    </xf>
    <xf numFmtId="165" fontId="9" fillId="0" borderId="0" xfId="1" applyNumberFormat="1" applyFont="1"/>
    <xf numFmtId="164" fontId="15" fillId="0" borderId="0" xfId="5" applyNumberFormat="1" applyFont="1"/>
    <xf numFmtId="0" fontId="9" fillId="0" borderId="2" xfId="4" applyFont="1" applyBorder="1" applyAlignment="1">
      <alignment horizontal="center"/>
    </xf>
    <xf numFmtId="0" fontId="9" fillId="0" borderId="2" xfId="4" quotePrefix="1" applyFont="1" applyBorder="1" applyAlignment="1">
      <alignment horizontal="center"/>
    </xf>
    <xf numFmtId="164" fontId="9" fillId="0" borderId="2" xfId="3" quotePrefix="1" applyFont="1" applyBorder="1" applyAlignment="1">
      <alignment horizontal="center"/>
    </xf>
    <xf numFmtId="164" fontId="10" fillId="0" borderId="0" xfId="3" applyFont="1"/>
    <xf numFmtId="0" fontId="10" fillId="0" borderId="0" xfId="3" applyNumberFormat="1" applyFont="1"/>
    <xf numFmtId="164" fontId="10" fillId="4" borderId="0" xfId="3" applyFont="1" applyFill="1"/>
    <xf numFmtId="164" fontId="10" fillId="0" borderId="0" xfId="3" applyFont="1" applyAlignment="1">
      <alignment horizontal="left"/>
    </xf>
    <xf numFmtId="164" fontId="17" fillId="0" borderId="0" xfId="2" applyNumberFormat="1" applyFont="1"/>
    <xf numFmtId="0" fontId="18" fillId="0" borderId="0" xfId="2" applyFont="1"/>
    <xf numFmtId="0" fontId="19" fillId="0" borderId="0" xfId="2" applyFont="1"/>
    <xf numFmtId="0" fontId="19" fillId="0" borderId="0" xfId="2" applyFont="1" applyAlignment="1">
      <alignment horizontal="left"/>
    </xf>
    <xf numFmtId="164" fontId="10" fillId="2" borderId="0" xfId="1" applyFont="1" applyFill="1"/>
    <xf numFmtId="0" fontId="20" fillId="0" borderId="0" xfId="2" applyFont="1"/>
    <xf numFmtId="164" fontId="3" fillId="0" borderId="0" xfId="2" applyNumberFormat="1"/>
    <xf numFmtId="0" fontId="11" fillId="5" borderId="0" xfId="2" applyFont="1" applyFill="1"/>
    <xf numFmtId="0" fontId="11" fillId="5" borderId="0" xfId="2" applyFont="1" applyFill="1" applyAlignment="1">
      <alignment horizontal="center"/>
    </xf>
    <xf numFmtId="0" fontId="13" fillId="0" borderId="0" xfId="2" quotePrefix="1" applyFont="1"/>
    <xf numFmtId="165" fontId="13" fillId="0" borderId="0" xfId="1" applyNumberFormat="1" applyFont="1"/>
    <xf numFmtId="165" fontId="11" fillId="0" borderId="0" xfId="1" applyNumberFormat="1" applyFont="1"/>
    <xf numFmtId="164" fontId="13" fillId="0" borderId="0" xfId="1" applyFont="1"/>
    <xf numFmtId="165" fontId="11" fillId="0" borderId="0" xfId="2" applyNumberFormat="1" applyFont="1"/>
    <xf numFmtId="165" fontId="11" fillId="6" borderId="0" xfId="2" applyNumberFormat="1" applyFont="1" applyFill="1"/>
    <xf numFmtId="0" fontId="14" fillId="0" borderId="0" xfId="0" applyFont="1"/>
    <xf numFmtId="0" fontId="14" fillId="0" borderId="0" xfId="0" applyFont="1" applyAlignment="1">
      <alignment horizontal="left"/>
    </xf>
    <xf numFmtId="164" fontId="14" fillId="0" borderId="0" xfId="0" applyNumberFormat="1" applyFont="1"/>
    <xf numFmtId="0" fontId="14" fillId="0" borderId="0" xfId="0" applyFont="1" applyAlignment="1">
      <alignment horizontal="left" indent="1"/>
    </xf>
    <xf numFmtId="0" fontId="21" fillId="0" borderId="0" xfId="0" applyFont="1" applyAlignment="1">
      <alignment horizontal="left"/>
    </xf>
    <xf numFmtId="0" fontId="15" fillId="0" borderId="0" xfId="0" applyFont="1"/>
    <xf numFmtId="164" fontId="22" fillId="0" borderId="0" xfId="1" applyFont="1"/>
    <xf numFmtId="0" fontId="15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164" fontId="2" fillId="0" borderId="0" xfId="1" applyFont="1"/>
    <xf numFmtId="0" fontId="0" fillId="0" borderId="0" xfId="0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7" borderId="0" xfId="0" applyFont="1" applyFill="1"/>
    <xf numFmtId="0" fontId="15" fillId="7" borderId="0" xfId="0" applyFont="1" applyFill="1"/>
    <xf numFmtId="164" fontId="27" fillId="0" borderId="0" xfId="1" applyFont="1"/>
    <xf numFmtId="164" fontId="28" fillId="0" borderId="0" xfId="1" applyFont="1"/>
    <xf numFmtId="165" fontId="12" fillId="7" borderId="0" xfId="1" applyNumberFormat="1" applyFont="1" applyFill="1"/>
    <xf numFmtId="165" fontId="29" fillId="7" borderId="0" xfId="1" applyNumberFormat="1" applyFont="1" applyFill="1" applyAlignment="1">
      <alignment horizontal="center"/>
    </xf>
    <xf numFmtId="164" fontId="29" fillId="0" borderId="0" xfId="0" applyNumberFormat="1" applyFont="1"/>
    <xf numFmtId="0" fontId="14" fillId="7" borderId="0" xfId="1" applyNumberFormat="1" applyFont="1" applyFill="1"/>
    <xf numFmtId="165" fontId="14" fillId="7" borderId="0" xfId="1" applyNumberFormat="1" applyFont="1" applyFill="1" applyAlignment="1">
      <alignment horizontal="right" vertical="center" wrapText="1"/>
    </xf>
    <xf numFmtId="165" fontId="14" fillId="7" borderId="0" xfId="1" applyNumberFormat="1" applyFont="1" applyFill="1"/>
    <xf numFmtId="164" fontId="14" fillId="0" borderId="0" xfId="1" applyFont="1"/>
    <xf numFmtId="164" fontId="15" fillId="0" borderId="0" xfId="0" applyNumberFormat="1" applyFont="1"/>
    <xf numFmtId="164" fontId="16" fillId="0" borderId="0" xfId="0" applyNumberFormat="1" applyFont="1"/>
    <xf numFmtId="164" fontId="30" fillId="0" borderId="0" xfId="0" applyNumberFormat="1" applyFont="1"/>
    <xf numFmtId="165" fontId="15" fillId="0" borderId="0" xfId="0" applyNumberFormat="1" applyFont="1"/>
    <xf numFmtId="164" fontId="31" fillId="0" borderId="0" xfId="1" applyFont="1"/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/>
    </xf>
    <xf numFmtId="164" fontId="29" fillId="0" borderId="0" xfId="1" applyFont="1" applyAlignment="1">
      <alignment horizontal="center" vertical="center" wrapText="1"/>
    </xf>
    <xf numFmtId="164" fontId="29" fillId="0" borderId="0" xfId="1" applyFont="1"/>
    <xf numFmtId="0" fontId="29" fillId="0" borderId="0" xfId="0" applyFont="1" applyAlignment="1">
      <alignment horizontal="right"/>
    </xf>
    <xf numFmtId="164" fontId="12" fillId="0" borderId="0" xfId="1" applyFont="1"/>
    <xf numFmtId="164" fontId="24" fillId="0" borderId="0" xfId="1" applyFont="1"/>
    <xf numFmtId="0" fontId="12" fillId="0" borderId="0" xfId="0" applyFont="1" applyAlignment="1">
      <alignment horizontal="center"/>
    </xf>
    <xf numFmtId="0" fontId="29" fillId="0" borderId="0" xfId="0" applyFont="1"/>
    <xf numFmtId="0" fontId="12" fillId="0" borderId="0" xfId="0" applyFont="1"/>
    <xf numFmtId="0" fontId="14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164" fontId="33" fillId="0" borderId="0" xfId="1" applyFont="1"/>
    <xf numFmtId="164" fontId="34" fillId="0" borderId="0" xfId="1" applyFont="1"/>
    <xf numFmtId="0" fontId="12" fillId="0" borderId="0" xfId="0" applyFont="1" applyAlignment="1">
      <alignment horizontal="right" vertical="center"/>
    </xf>
    <xf numFmtId="164" fontId="12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3" fillId="0" borderId="0" xfId="0" applyFont="1"/>
    <xf numFmtId="164" fontId="11" fillId="0" borderId="0" xfId="0" applyNumberFormat="1" applyFont="1"/>
    <xf numFmtId="164" fontId="13" fillId="0" borderId="0" xfId="0" applyNumberFormat="1" applyFont="1"/>
    <xf numFmtId="0" fontId="24" fillId="0" borderId="0" xfId="0" applyFont="1"/>
    <xf numFmtId="164" fontId="35" fillId="0" borderId="0" xfId="1" applyFont="1"/>
    <xf numFmtId="0" fontId="30" fillId="0" borderId="0" xfId="0" applyFont="1"/>
    <xf numFmtId="0" fontId="24" fillId="0" borderId="0" xfId="1" applyNumberFormat="1" applyFont="1"/>
    <xf numFmtId="0" fontId="29" fillId="0" borderId="0" xfId="1" applyNumberFormat="1" applyFont="1"/>
    <xf numFmtId="164" fontId="11" fillId="8" borderId="0" xfId="1" applyFont="1" applyFill="1"/>
    <xf numFmtId="164" fontId="11" fillId="0" borderId="0" xfId="1" applyFont="1"/>
    <xf numFmtId="164" fontId="5" fillId="0" borderId="0" xfId="1" applyFont="1"/>
    <xf numFmtId="164" fontId="36" fillId="0" borderId="1" xfId="3" quotePrefix="1" applyFont="1" applyBorder="1" applyAlignment="1">
      <alignment horizontal="center"/>
    </xf>
    <xf numFmtId="164" fontId="36" fillId="0" borderId="1" xfId="3" quotePrefix="1" applyFont="1" applyBorder="1" applyAlignment="1">
      <alignment horizontal="left"/>
    </xf>
    <xf numFmtId="0" fontId="14" fillId="0" borderId="0" xfId="0" pivotButton="1" applyFont="1"/>
  </cellXfs>
  <cellStyles count="6">
    <cellStyle name="Comma" xfId="1" builtinId="3"/>
    <cellStyle name="Comma 2" xfId="3" xr:uid="{EA71EB37-BBA4-41DD-B3E9-1948A590522B}"/>
    <cellStyle name="Normal" xfId="0" builtinId="0"/>
    <cellStyle name="Normal 16 2" xfId="5" xr:uid="{C4B0331E-88C3-4BBF-B1AE-C03CF2E6CE25}"/>
    <cellStyle name="Normal 2" xfId="2" xr:uid="{28484D79-CF16-4DCE-99DD-1D98D2B720D8}"/>
    <cellStyle name="Normal 2 2" xfId="4" xr:uid="{EB2299CF-10D9-4AC3-AFBF-3C1575C5D48E}"/>
  </cellStyles>
  <dxfs count="9">
    <dxf>
      <numFmt numFmtId="164" formatCode="_(* #,##0.00_);_(* \(#,##0.00\);_(* &quot;-&quot;??_);_(@_)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18203</xdr:colOff>
      <xdr:row>48</xdr:row>
      <xdr:rowOff>112395</xdr:rowOff>
    </xdr:from>
    <xdr:to>
      <xdr:col>8</xdr:col>
      <xdr:colOff>724535</xdr:colOff>
      <xdr:row>55</xdr:row>
      <xdr:rowOff>52917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5CEA731-7C8D-43DB-A88A-857E23E2D8C0}"/>
            </a:ext>
          </a:extLst>
        </xdr:cNvPr>
        <xdr:cNvSpPr txBox="1"/>
      </xdr:nvSpPr>
      <xdr:spPr>
        <a:xfrm>
          <a:off x="631613" y="8513445"/>
          <a:ext cx="7322397" cy="11444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For</a:t>
          </a:r>
          <a:r>
            <a:rPr lang="en-US" sz="1100" baseline="0"/>
            <a:t> </a:t>
          </a:r>
          <a:r>
            <a:rPr lang="en-US" sz="1100"/>
            <a:t>the activation of the 2020 AWP, please program the buffer of $154.435 as follows:</a:t>
          </a:r>
        </a:p>
        <a:p>
          <a:r>
            <a:rPr lang="en-US" sz="1100"/>
            <a:t>10k Travel</a:t>
          </a:r>
        </a:p>
        <a:p>
          <a:r>
            <a:rPr lang="en-US" sz="1100"/>
            <a:t>100k Cross-regional initiative on Behavioral insights and Youth entrepreneurship</a:t>
          </a:r>
        </a:p>
        <a:p>
          <a:r>
            <a:rPr lang="en-US" sz="1100"/>
            <a:t>44k Launch event IF 2.0</a:t>
          </a:r>
        </a:p>
        <a:p>
          <a:r>
            <a:rPr lang="en-US" sz="1100"/>
            <a:t>The 100k is more of a placeholder for any cross-regional initiatives that may coalesce this year.</a:t>
          </a:r>
        </a:p>
        <a:p>
          <a:r>
            <a:rPr lang="en-US" sz="1100"/>
            <a:t> </a:t>
          </a:r>
        </a:p>
        <a:p>
          <a:r>
            <a:rPr lang="en-US" sz="1100"/>
            <a:t> </a:t>
          </a: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dp-my.sharepoint.com/personal/sviatlana_shutko_undp_org/Documents/1_BPPS/1_MAPS/MAPS%202019%20Budget%20LATEST%20STATUS%20WORKING%20Dec%2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dp-my.sharepoint.com/personal/sviatlana_shutko_undp_org/Documents/1_BPPS/MAPS/MAIN%20STATUS%20MAP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dp-my.sharepoint.com/personal/sviatlana_shutko_undp_org/Documents/1_BPPS/1_MAPS/MAPS%20budget%20LATEST%20STATUS%20WORKING%20Dec%2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dp-my.sharepoint.com/personal/sviatlana_shutko_undp_org/Documents/1_BPPS/1_MAPS/MAPS%202018%20Budget%20LATEST%20STATUS%20WORKING%20Jan%20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ed Adjustments"/>
      <sheetName val="2018 Balance &amp; RollOver"/>
      <sheetName val="ROK cash 2019 &amp;2020 tail budget"/>
      <sheetName val="Cash flow "/>
      <sheetName val="CURRENT WORKING BUDGET"/>
      <sheetName val="2019 MAIN staff cost &amp; COA"/>
      <sheetName val="2020 ROK initial Budget"/>
      <sheetName val="2020 Staff costs and COA"/>
      <sheetName val="Summary Status"/>
      <sheetName val="SDGI RoadMap COM&amp;300K"/>
      <sheetName val="IF 300K Origianal budget"/>
      <sheetName val="2019 MAPS Engagements "/>
      <sheetName val="2020 CORE budget"/>
      <sheetName val="Core budget 270K"/>
      <sheetName val="KK vs GL Sep 17"/>
      <sheetName val="Supplementary activities"/>
      <sheetName val="COA"/>
      <sheetName val="Info for ROK Aug 1"/>
      <sheetName val="1mln new funding budget"/>
      <sheetName val="Japanese budget and COA"/>
      <sheetName val="Staff Cost &amp; COA working"/>
      <sheetName val="Integration Tools Budget Apr 26"/>
      <sheetName val="Serge's budget May 21"/>
      <sheetName val="Cumulative Resources Cover Page"/>
      <sheetName val="P2 Cost Distribution "/>
      <sheetName val="PSE_WIL"/>
      <sheetName val="CORE"/>
      <sheetName val="2019 Ininital Resource planning"/>
      <sheetName val="ROK secondment Costs"/>
      <sheetName val="Japanese working details"/>
      <sheetName val="Initial Project Budget"/>
      <sheetName val="ROLLOVER JUSTIFICATIONS"/>
      <sheetName val="LATEST 2019 WP"/>
      <sheetName val="List of Activities"/>
      <sheetName val="2018 MAPS Engagements "/>
      <sheetName val="Budgeting for IC"/>
      <sheetName val="Procurement Plan Q3&amp;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9">
          <cell r="C49">
            <v>53083.016831886605</v>
          </cell>
        </row>
        <row r="56">
          <cell r="C56">
            <v>43920.835812368576</v>
          </cell>
        </row>
        <row r="69">
          <cell r="E69">
            <v>54901.044765460487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8">
          <cell r="B88">
            <v>56672.703119315462</v>
          </cell>
        </row>
        <row r="93">
          <cell r="B93">
            <v>170018.10935794638</v>
          </cell>
        </row>
        <row r="106">
          <cell r="D106">
            <v>117122.22883298238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JUNE 8"/>
      <sheetName val="Summary by Project"/>
      <sheetName val="BUDGET STATUS "/>
      <sheetName val="COA"/>
      <sheetName val="Calculations and working GLJEs"/>
      <sheetName val="Status of PTTF funds"/>
      <sheetName val="ALT Analysis June 1"/>
      <sheetName val="Pivot by Fund"/>
      <sheetName val="SUMMARY MAY 9"/>
      <sheetName val="ALT analysis May 15"/>
      <sheetName val="Activities"/>
      <sheetName val="VNR allocations May 4"/>
      <sheetName val="SDGR Allocations"/>
      <sheetName val="Output Names"/>
      <sheetName val="Loan to SDG campaig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F1">
            <v>0.91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Budget Components"/>
      <sheetName val="Resource Planning for 2018"/>
      <sheetName val="Current Summary"/>
      <sheetName val="CURRENT BUDGET STATUS"/>
      <sheetName val="ROK Status Nov 30"/>
      <sheetName val="Explanatory Notes"/>
      <sheetName val="Tasneems Budget Nov 20"/>
      <sheetName val="Tasneems Expenses Nov 20"/>
      <sheetName val="Tasneem modelling tools details"/>
      <sheetName val="MAIN COA "/>
      <sheetName val="Status VNR SDGR LNOB Allocation"/>
      <sheetName val="Allocations working"/>
      <sheetName val="ADDITIONAL VNR SDGR LNOB alloc"/>
      <sheetName val="200K loan to Campaign"/>
      <sheetName val="Serge's Budget"/>
      <sheetName val="Expense analys Sep 13"/>
      <sheetName val="RESERVE_Loan to the Campaign"/>
      <sheetName val="151K Research budgt Pedro"/>
      <sheetName val="P2 Cost Distribution"/>
      <sheetName val="PAU Detailed"/>
      <sheetName val="Sorie"/>
      <sheetName val="P4 cost"/>
      <sheetName val="Alice"/>
      <sheetName val="Caroline"/>
      <sheetName val="Tasneem"/>
      <sheetName val="Editor"/>
      <sheetName val="PTTF"/>
      <sheetName val="DANISH FUNDS"/>
      <sheetName val="UNESCO clearance"/>
      <sheetName val="ROK workplan"/>
      <sheetName val="Estimated Future MM"/>
      <sheetName val="Actual Cost MM"/>
      <sheetName val="Planned Pre-Missions"/>
      <sheetName val="Jaimie's tracker as per August "/>
      <sheetName val="CORRECTION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5">
          <cell r="C5">
            <v>358562</v>
          </cell>
          <cell r="D5">
            <v>14940.083333333334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E2">
            <v>7.0000000000000007E-2</v>
          </cell>
        </row>
      </sheetData>
      <sheetData sheetId="27" refreshError="1"/>
      <sheetData sheetId="28">
        <row r="49">
          <cell r="G49">
            <v>0.89300000000000002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WORKING BUDGET"/>
      <sheetName val="ROK secondment Costs"/>
      <sheetName val="2018 BALANCE ANALYSIS&amp; BUFFER"/>
      <sheetName val="Summary Status"/>
      <sheetName val="KK&amp;GL Jan14 &amp; Cash transfer"/>
      <sheetName val="ROLLOVER JUSTIFICATIONS"/>
      <sheetName val="MAPS missions Activ &amp; budget "/>
      <sheetName val="DPC of staff"/>
      <sheetName val="GL Rollover Estimates"/>
      <sheetName val="Planned Adjustments"/>
      <sheetName val="Japanese budget and COA"/>
      <sheetName val="Japanese Proposal"/>
      <sheetName val="KK &amp; GL Status Nov 14"/>
      <sheetName val="COA"/>
      <sheetName val="KK PAR AX1 JAN 16"/>
      <sheetName val="VNR Allocations"/>
      <sheetName val="Action B Oct 16"/>
      <sheetName val="Communications"/>
      <sheetName val="2018 WP ORIGINAL APPROVED "/>
      <sheetName val="BUDGET VERSION BEFORE REV Nov21"/>
      <sheetName val="Staff cost estimate 2019-20"/>
      <sheetName val="GA event budget"/>
      <sheetName val="Capacity building"/>
      <sheetName val="AX1 analysis Oct 8"/>
      <sheetName val="200K loan to Campaign"/>
      <sheetName val="Budgeting for IC"/>
      <sheetName val="224K GLJE 0007674206"/>
      <sheetName val="RENT"/>
      <sheetName val="Alice"/>
      <sheetName val="Output 7 MAPS team"/>
      <sheetName val="Jaimie"/>
      <sheetName val="Resource Planning for 2018"/>
      <sheetName val="P3 Tasneem "/>
      <sheetName val="Tasneem Budget"/>
      <sheetName val="27K Core VNR supplementary bud"/>
      <sheetName val="P2 Cost Distribution "/>
      <sheetName val="PAU Detailed"/>
      <sheetName val="Depreciation Charges"/>
      <sheetName val="List of Misc"/>
      <sheetName val="ORIGINAL ROK BUDGET ESTIMATE"/>
      <sheetName val="CORE allocations"/>
      <sheetName val="Q1 Delivery Estimate ROK"/>
      <sheetName val="prior maps act working sheet"/>
      <sheetName val="MAPS missions working"/>
      <sheetName val="List of Activities 2017"/>
      <sheetName val="2018 MAPS Engagement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5">
          <cell r="C5">
            <v>358562</v>
          </cell>
        </row>
        <row r="86">
          <cell r="C86">
            <v>95998.170000000027</v>
          </cell>
          <cell r="F86">
            <v>160774.40999999997</v>
          </cell>
          <cell r="H86">
            <v>256772.58000000002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viatlana Shutko" refreshedDate="43866.703030092591" createdVersion="6" refreshedVersion="6" minRefreshableVersion="3" recordCount="12" xr:uid="{CD68684C-79EA-40EE-9F6F-481CDAB989C5}">
  <cacheSource type="worksheet">
    <worksheetSource ref="B7:M19" sheet="2020 initial Budget"/>
  </cacheSource>
  <cacheFields count="12">
    <cacheField name="Output" numFmtId="0">
      <sharedItems count="2">
        <s v="00090714"/>
        <s v="00090713"/>
      </sharedItems>
    </cacheField>
    <cacheField name="Activity ID" numFmtId="0">
      <sharedItems containsSemiMixedTypes="0" containsString="0" containsNumber="1" containsInteger="1" minValue="1" maxValue="11"/>
    </cacheField>
    <cacheField name="OU" numFmtId="0">
      <sharedItems/>
    </cacheField>
    <cacheField name="Dept" numFmtId="0">
      <sharedItems/>
    </cacheField>
    <cacheField name="Fund" numFmtId="0">
      <sharedItems containsSemiMixedTypes="0" containsString="0" containsNumber="1" containsInteger="1" minValue="30000" maxValue="30000"/>
    </cacheField>
    <cacheField name="Donor" numFmtId="0">
      <sharedItems/>
    </cacheField>
    <cacheField name="IA" numFmtId="0">
      <sharedItems/>
    </cacheField>
    <cacheField name="Project Cost Account" numFmtId="0">
      <sharedItems containsSemiMixedTypes="0" containsString="0" containsNumber="1" containsInteger="1" minValue="61300" maxValue="77300"/>
    </cacheField>
    <cacheField name="Project Cost Amount" numFmtId="164">
      <sharedItems containsSemiMixedTypes="0" containsString="0" containsNumber="1" minValue="5000" maxValue="1500000"/>
    </cacheField>
    <cacheField name="GMS (Account 75100)" numFmtId="164">
      <sharedItems containsSemiMixedTypes="0" containsString="0" containsNumber="1" minValue="400" maxValue="120000"/>
    </cacheField>
    <cacheField name="TOTAL" numFmtId="164">
      <sharedItems containsSemiMixedTypes="0" containsString="0" containsNumber="1" minValue="5400" maxValue="1620000"/>
    </cacheField>
    <cacheField name="Comment" numFmtId="164">
      <sharedItems count="12">
        <s v="IF 2.0 investment in 4 - 6 COs"/>
        <s v="Analyst' Support Jan-March 2020, 40%"/>
        <s v="IF Fund Manager IC (fees, travel and incidentals)"/>
        <s v="Annual Rent for IF Fund Manager and Analyst"/>
        <s v="Travel"/>
        <s v="Buffer for other activities"/>
        <s v="Detailed assignment"/>
        <s v="Regional Leads"/>
        <s v="Intern Communication &amp; Learning"/>
        <s v="Impact Hub Low Value Grant payment"/>
        <s v="Buffer to cover over-expenditure by winning teams + regional innovation leads"/>
        <s v="Global Initiativ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n v="1"/>
    <s v="H70"/>
    <s v="B0286"/>
    <n v="30000"/>
    <s v="00095"/>
    <s v="001981"/>
    <n v="72100"/>
    <n v="1500000"/>
    <n v="120000"/>
    <n v="1620000"/>
    <x v="0"/>
  </r>
  <r>
    <x v="1"/>
    <n v="3"/>
    <s v="H70"/>
    <s v="B0286"/>
    <n v="30000"/>
    <s v="00095"/>
    <s v="001981"/>
    <n v="61300"/>
    <n v="17784.366572000003"/>
    <n v="1422.7493257600001"/>
    <n v="19207.115897760003"/>
    <x v="1"/>
  </r>
  <r>
    <x v="1"/>
    <n v="3"/>
    <s v="H70"/>
    <s v="B0286"/>
    <n v="30000"/>
    <s v="00095"/>
    <s v="001981"/>
    <n v="71200"/>
    <n v="118000"/>
    <n v="9440"/>
    <n v="127440"/>
    <x v="2"/>
  </r>
  <r>
    <x v="1"/>
    <n v="3"/>
    <s v="H70"/>
    <s v="B0286"/>
    <n v="30000"/>
    <s v="00095"/>
    <s v="001981"/>
    <n v="73100"/>
    <n v="16800"/>
    <n v="1344"/>
    <n v="18144"/>
    <x v="3"/>
  </r>
  <r>
    <x v="1"/>
    <n v="2"/>
    <s v="H70"/>
    <s v="B0286"/>
    <n v="30000"/>
    <s v="00095"/>
    <s v="001981"/>
    <n v="71600"/>
    <n v="30000"/>
    <n v="2400"/>
    <n v="32400"/>
    <x v="4"/>
  </r>
  <r>
    <x v="1"/>
    <n v="3"/>
    <s v="H70"/>
    <s v="B0286"/>
    <n v="30000"/>
    <s v="00095"/>
    <s v="001981"/>
    <n v="74500"/>
    <n v="5646.09"/>
    <n v="451.68720000000002"/>
    <n v="6097.7772000000004"/>
    <x v="5"/>
  </r>
  <r>
    <x v="1"/>
    <n v="3"/>
    <s v="H70"/>
    <s v="B0286"/>
    <n v="30000"/>
    <s v="00095"/>
    <s v="001981"/>
    <n v="77300"/>
    <n v="25000"/>
    <n v="2000"/>
    <n v="27000"/>
    <x v="6"/>
  </r>
  <r>
    <x v="0"/>
    <n v="11"/>
    <s v="H70"/>
    <s v="B0286"/>
    <n v="30000"/>
    <s v="00095"/>
    <s v="001981"/>
    <n v="75700"/>
    <n v="100000"/>
    <n v="8000"/>
    <n v="108000"/>
    <x v="7"/>
  </r>
  <r>
    <x v="1"/>
    <n v="3"/>
    <s v="H70"/>
    <s v="B0286"/>
    <n v="30000"/>
    <s v="00095"/>
    <s v="001981"/>
    <n v="77300"/>
    <n v="6000"/>
    <n v="480"/>
    <n v="6480"/>
    <x v="8"/>
  </r>
  <r>
    <x v="0"/>
    <n v="2"/>
    <s v="H70"/>
    <s v="B0286"/>
    <n v="30000"/>
    <s v="00095"/>
    <s v="001981"/>
    <n v="72600"/>
    <n v="5000"/>
    <n v="400"/>
    <n v="5400"/>
    <x v="9"/>
  </r>
  <r>
    <x v="0"/>
    <n v="1"/>
    <s v="H70"/>
    <s v="B0286"/>
    <n v="30000"/>
    <s v="00095"/>
    <s v="001981"/>
    <n v="75700"/>
    <n v="20213.990000000002"/>
    <n v="1617.1192000000001"/>
    <n v="21831.109200000003"/>
    <x v="10"/>
  </r>
  <r>
    <x v="1"/>
    <n v="6"/>
    <s v="H70"/>
    <s v="B0286"/>
    <n v="30000"/>
    <s v="00095"/>
    <s v="001981"/>
    <n v="75700"/>
    <n v="100000"/>
    <n v="8000"/>
    <n v="108000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709ADB-B21C-408B-A111-E126114CDF6E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8" firstHeaderRow="0" firstDataRow="1" firstDataCol="1"/>
  <pivotFields count="12"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dataField="1" numFmtId="164" showAll="0"/>
    <pivotField numFmtId="164" showAll="0"/>
    <pivotField axis="axisRow" showAll="0">
      <items count="13">
        <item x="1"/>
        <item x="3"/>
        <item x="5"/>
        <item x="10"/>
        <item x="6"/>
        <item x="11"/>
        <item x="0"/>
        <item x="2"/>
        <item x="9"/>
        <item x="8"/>
        <item x="7"/>
        <item x="4"/>
        <item t="default"/>
      </items>
    </pivotField>
  </pivotFields>
  <rowFields count="2">
    <field x="0"/>
    <field x="11"/>
  </rowFields>
  <rowItems count="15">
    <i>
      <x/>
    </i>
    <i r="1">
      <x/>
    </i>
    <i r="1">
      <x v="1"/>
    </i>
    <i r="1">
      <x v="2"/>
    </i>
    <i r="1">
      <x v="4"/>
    </i>
    <i r="1">
      <x v="5"/>
    </i>
    <i r="1">
      <x v="7"/>
    </i>
    <i r="1">
      <x v="9"/>
    </i>
    <i r="1">
      <x v="11"/>
    </i>
    <i>
      <x v="1"/>
    </i>
    <i r="1">
      <x v="3"/>
    </i>
    <i r="1">
      <x v="6"/>
    </i>
    <i r="1">
      <x v="8"/>
    </i>
    <i r="1"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Project Cost Amount" fld="8" baseField="0" baseItem="0"/>
    <dataField name="Sum of GMS (Account 75100)" fld="9" baseField="0" baseItem="0"/>
  </dataFields>
  <formats count="9">
    <format dxfId="8">
      <pivotArea type="all" dataOnly="0" outline="0" fieldPosition="0"/>
    </format>
    <format dxfId="7">
      <pivotArea outline="0" collapsedLevelsAreSubtotals="1" fieldPosition="0"/>
    </format>
    <format dxfId="6">
      <pivotArea field="0" type="button" dataOnly="0" labelOnly="1" outline="0" axis="axisRow" fieldPosition="0"/>
    </format>
    <format dxfId="5">
      <pivotArea dataOnly="0" labelOnly="1" fieldPosition="0">
        <references count="1">
          <reference field="0" count="0"/>
        </references>
      </pivotArea>
    </format>
    <format dxfId="4">
      <pivotArea dataOnly="0" labelOnly="1" grandRow="1" outline="0" fieldPosition="0"/>
    </format>
    <format dxfId="3">
      <pivotArea dataOnly="0" labelOnly="1" fieldPosition="0">
        <references count="2">
          <reference field="0" count="1" selected="0">
            <x v="0"/>
          </reference>
          <reference field="11" count="8">
            <x v="0"/>
            <x v="1"/>
            <x v="2"/>
            <x v="4"/>
            <x v="5"/>
            <x v="7"/>
            <x v="9"/>
            <x v="11"/>
          </reference>
        </references>
      </pivotArea>
    </format>
    <format dxfId="2">
      <pivotArea dataOnly="0" labelOnly="1" fieldPosition="0">
        <references count="2">
          <reference field="0" count="1" selected="0">
            <x v="1"/>
          </reference>
          <reference field="11" count="4">
            <x v="3"/>
            <x v="6"/>
            <x v="8"/>
            <x v="10"/>
          </reference>
        </references>
      </pivotArea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BD95B-C0F6-4683-A733-288E85C29248}">
  <sheetPr>
    <tabColor rgb="FF0EE8C4"/>
    <pageSetUpPr fitToPage="1"/>
  </sheetPr>
  <dimension ref="A1:AA52"/>
  <sheetViews>
    <sheetView zoomScaleNormal="100" workbookViewId="0">
      <pane xSplit="2" ySplit="7" topLeftCell="C28" activePane="bottomRight" state="frozen"/>
      <selection activeCell="M35" sqref="M35"/>
      <selection pane="topRight" activeCell="M35" sqref="M35"/>
      <selection pane="bottomLeft" activeCell="M35" sqref="M35"/>
      <selection pane="bottomRight" activeCell="L9" sqref="L9"/>
    </sheetView>
  </sheetViews>
  <sheetFormatPr baseColWidth="10" defaultColWidth="8.83203125" defaultRowHeight="13" x14ac:dyDescent="0.15"/>
  <cols>
    <col min="1" max="1" width="4.1640625" style="2" customWidth="1"/>
    <col min="2" max="2" width="11" style="2" customWidth="1"/>
    <col min="3" max="3" width="17" style="2" customWidth="1"/>
    <col min="4" max="4" width="8.5" style="2" customWidth="1"/>
    <col min="5" max="5" width="13.5" style="2" customWidth="1"/>
    <col min="6" max="6" width="9.5" style="2" customWidth="1"/>
    <col min="7" max="7" width="11" style="2" customWidth="1"/>
    <col min="8" max="8" width="11.33203125" style="2" customWidth="1"/>
    <col min="9" max="9" width="11" style="2" customWidth="1"/>
    <col min="10" max="10" width="12.33203125" style="2" customWidth="1"/>
    <col min="11" max="12" width="12.5" style="2" customWidth="1"/>
    <col min="13" max="13" width="43.1640625" style="2" customWidth="1"/>
    <col min="14" max="14" width="11.5" style="3" customWidth="1"/>
    <col min="15" max="15" width="9.1640625" style="2" customWidth="1"/>
    <col min="16" max="16384" width="8.83203125" style="2"/>
  </cols>
  <sheetData>
    <row r="1" spans="1:27" ht="19" x14ac:dyDescent="0.25">
      <c r="A1" s="1" t="s">
        <v>0</v>
      </c>
    </row>
    <row r="2" spans="1:27" ht="14" x14ac:dyDescent="0.2">
      <c r="A2" s="4" t="s">
        <v>100</v>
      </c>
      <c r="J2" s="45"/>
      <c r="K2" s="45"/>
    </row>
    <row r="3" spans="1:27" x14ac:dyDescent="0.15">
      <c r="K3" s="5"/>
    </row>
    <row r="4" spans="1:27" x14ac:dyDescent="0.15">
      <c r="A4" s="6" t="s">
        <v>1</v>
      </c>
      <c r="K4" s="5"/>
    </row>
    <row r="5" spans="1:27" s="8" customFormat="1" ht="15" x14ac:dyDescent="0.2">
      <c r="A5" s="7"/>
      <c r="C5" s="9" t="s">
        <v>2</v>
      </c>
      <c r="D5" s="10"/>
      <c r="E5" s="10"/>
      <c r="F5" s="11">
        <v>2100000</v>
      </c>
      <c r="G5" s="12">
        <f>F5/1.08</f>
        <v>1944444.4444444443</v>
      </c>
      <c r="K5" s="13"/>
      <c r="N5" s="14"/>
    </row>
    <row r="6" spans="1:27" s="17" customFormat="1" ht="14" x14ac:dyDescent="0.2">
      <c r="A6" s="15" t="s">
        <v>3</v>
      </c>
      <c r="B6" s="16" t="s">
        <v>4</v>
      </c>
      <c r="J6" s="18"/>
      <c r="N6" s="19"/>
    </row>
    <row r="7" spans="1:27" s="8" customFormat="1" ht="26" x14ac:dyDescent="0.15">
      <c r="B7" s="20" t="s">
        <v>5</v>
      </c>
      <c r="C7" s="20" t="s">
        <v>6</v>
      </c>
      <c r="D7" s="20" t="s">
        <v>7</v>
      </c>
      <c r="E7" s="20" t="s">
        <v>8</v>
      </c>
      <c r="F7" s="20" t="s">
        <v>9</v>
      </c>
      <c r="G7" s="20" t="s">
        <v>10</v>
      </c>
      <c r="H7" s="20" t="s">
        <v>11</v>
      </c>
      <c r="I7" s="20" t="s">
        <v>12</v>
      </c>
      <c r="J7" s="21" t="s">
        <v>13</v>
      </c>
      <c r="K7" s="21" t="s">
        <v>14</v>
      </c>
      <c r="L7" s="21" t="s">
        <v>15</v>
      </c>
      <c r="M7" s="22" t="s">
        <v>16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4"/>
    </row>
    <row r="8" spans="1:27" s="8" customFormat="1" ht="12" x14ac:dyDescent="0.15">
      <c r="B8" s="25" t="s">
        <v>17</v>
      </c>
      <c r="C8" s="26">
        <v>1</v>
      </c>
      <c r="D8" s="27" t="s">
        <v>18</v>
      </c>
      <c r="E8" s="27" t="s">
        <v>19</v>
      </c>
      <c r="F8" s="27">
        <v>30000</v>
      </c>
      <c r="G8" s="25" t="s">
        <v>20</v>
      </c>
      <c r="H8" s="25" t="s">
        <v>21</v>
      </c>
      <c r="I8" s="26">
        <v>72100</v>
      </c>
      <c r="J8" s="28">
        <v>1500000</v>
      </c>
      <c r="K8" s="28">
        <f>J8*0.08</f>
        <v>120000</v>
      </c>
      <c r="L8" s="28">
        <f>J8+K8</f>
        <v>1620000</v>
      </c>
      <c r="M8" s="29" t="s">
        <v>22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</row>
    <row r="9" spans="1:27" s="8" customFormat="1" ht="12" x14ac:dyDescent="0.15">
      <c r="A9" s="30"/>
      <c r="B9" s="25" t="s">
        <v>23</v>
      </c>
      <c r="C9" s="26">
        <v>3</v>
      </c>
      <c r="D9" s="27" t="s">
        <v>18</v>
      </c>
      <c r="E9" s="27" t="s">
        <v>19</v>
      </c>
      <c r="F9" s="27">
        <v>30000</v>
      </c>
      <c r="G9" s="25" t="s">
        <v>20</v>
      </c>
      <c r="H9" s="25" t="s">
        <v>21</v>
      </c>
      <c r="I9" s="26">
        <v>61300</v>
      </c>
      <c r="J9" s="28">
        <v>17784.366572000003</v>
      </c>
      <c r="K9" s="28">
        <f t="shared" ref="K9:K19" si="0">J9*0.08</f>
        <v>1422.7493257600001</v>
      </c>
      <c r="L9" s="28">
        <f t="shared" ref="L9:L19" si="1">J9+K9</f>
        <v>19207.115897760003</v>
      </c>
      <c r="M9" s="29" t="s">
        <v>98</v>
      </c>
      <c r="N9" s="23"/>
      <c r="O9" s="31"/>
      <c r="P9" s="31"/>
      <c r="Q9" s="23"/>
      <c r="R9" s="23"/>
      <c r="S9" s="23"/>
      <c r="T9" s="23"/>
      <c r="U9" s="23"/>
      <c r="V9" s="23"/>
      <c r="W9" s="23"/>
      <c r="X9" s="23"/>
      <c r="Y9" s="23"/>
      <c r="Z9" s="23"/>
      <c r="AA9" s="24"/>
    </row>
    <row r="10" spans="1:27" s="8" customFormat="1" ht="12" x14ac:dyDescent="0.15">
      <c r="B10" s="25" t="s">
        <v>23</v>
      </c>
      <c r="C10" s="26">
        <v>3</v>
      </c>
      <c r="D10" s="27" t="s">
        <v>18</v>
      </c>
      <c r="E10" s="27" t="s">
        <v>19</v>
      </c>
      <c r="F10" s="27">
        <v>30000</v>
      </c>
      <c r="G10" s="25" t="s">
        <v>20</v>
      </c>
      <c r="H10" s="25" t="s">
        <v>21</v>
      </c>
      <c r="I10" s="26">
        <v>71200</v>
      </c>
      <c r="J10" s="28">
        <f>130000-12000</f>
        <v>118000</v>
      </c>
      <c r="K10" s="28">
        <f t="shared" si="0"/>
        <v>9440</v>
      </c>
      <c r="L10" s="28">
        <f t="shared" si="1"/>
        <v>127440</v>
      </c>
      <c r="M10" s="29" t="s">
        <v>24</v>
      </c>
      <c r="N10" s="23"/>
      <c r="O10" s="31"/>
      <c r="P10" s="31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4"/>
    </row>
    <row r="11" spans="1:27" s="8" customFormat="1" ht="12" x14ac:dyDescent="0.15">
      <c r="B11" s="25" t="s">
        <v>23</v>
      </c>
      <c r="C11" s="26">
        <v>3</v>
      </c>
      <c r="D11" s="27" t="s">
        <v>18</v>
      </c>
      <c r="E11" s="27" t="s">
        <v>19</v>
      </c>
      <c r="F11" s="27">
        <v>30000</v>
      </c>
      <c r="G11" s="25" t="s">
        <v>20</v>
      </c>
      <c r="H11" s="25" t="s">
        <v>21</v>
      </c>
      <c r="I11" s="26">
        <v>73100</v>
      </c>
      <c r="J11" s="28">
        <v>16800</v>
      </c>
      <c r="K11" s="28">
        <f t="shared" si="0"/>
        <v>1344</v>
      </c>
      <c r="L11" s="28">
        <f t="shared" si="1"/>
        <v>18144</v>
      </c>
      <c r="M11" s="29" t="s">
        <v>25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4"/>
    </row>
    <row r="12" spans="1:27" s="8" customFormat="1" ht="12" x14ac:dyDescent="0.15">
      <c r="B12" s="25" t="s">
        <v>23</v>
      </c>
      <c r="C12" s="26">
        <v>2</v>
      </c>
      <c r="D12" s="27" t="s">
        <v>18</v>
      </c>
      <c r="E12" s="27" t="s">
        <v>19</v>
      </c>
      <c r="F12" s="27">
        <v>30000</v>
      </c>
      <c r="G12" s="25" t="s">
        <v>20</v>
      </c>
      <c r="H12" s="25" t="s">
        <v>21</v>
      </c>
      <c r="I12" s="26">
        <v>71600</v>
      </c>
      <c r="J12" s="28">
        <v>30000</v>
      </c>
      <c r="K12" s="28">
        <f t="shared" si="0"/>
        <v>2400</v>
      </c>
      <c r="L12" s="28">
        <f t="shared" si="1"/>
        <v>32400</v>
      </c>
      <c r="M12" s="29" t="s">
        <v>26</v>
      </c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4"/>
    </row>
    <row r="13" spans="1:27" s="8" customFormat="1" ht="12" x14ac:dyDescent="0.15">
      <c r="B13" s="25" t="s">
        <v>23</v>
      </c>
      <c r="C13" s="26">
        <v>3</v>
      </c>
      <c r="D13" s="27" t="s">
        <v>18</v>
      </c>
      <c r="E13" s="27" t="s">
        <v>19</v>
      </c>
      <c r="F13" s="27">
        <v>30000</v>
      </c>
      <c r="G13" s="25" t="s">
        <v>20</v>
      </c>
      <c r="H13" s="25" t="s">
        <v>21</v>
      </c>
      <c r="I13" s="26">
        <v>74500</v>
      </c>
      <c r="J13" s="114">
        <v>5646.09</v>
      </c>
      <c r="K13" s="28">
        <f t="shared" si="0"/>
        <v>451.68720000000002</v>
      </c>
      <c r="L13" s="28">
        <f t="shared" si="1"/>
        <v>6097.7772000000004</v>
      </c>
      <c r="M13" s="115" t="s">
        <v>99</v>
      </c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4"/>
    </row>
    <row r="14" spans="1:27" s="8" customFormat="1" ht="12" x14ac:dyDescent="0.15">
      <c r="B14" s="25" t="s">
        <v>23</v>
      </c>
      <c r="C14" s="26">
        <v>3</v>
      </c>
      <c r="D14" s="27" t="s">
        <v>18</v>
      </c>
      <c r="E14" s="27" t="s">
        <v>19</v>
      </c>
      <c r="F14" s="27">
        <v>30000</v>
      </c>
      <c r="G14" s="25" t="s">
        <v>20</v>
      </c>
      <c r="H14" s="25" t="s">
        <v>21</v>
      </c>
      <c r="I14" s="26">
        <v>77300</v>
      </c>
      <c r="J14" s="28">
        <v>25000</v>
      </c>
      <c r="K14" s="28">
        <f t="shared" si="0"/>
        <v>2000</v>
      </c>
      <c r="L14" s="28">
        <f t="shared" si="1"/>
        <v>27000</v>
      </c>
      <c r="M14" s="29" t="s">
        <v>27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4"/>
    </row>
    <row r="15" spans="1:27" s="8" customFormat="1" ht="12" x14ac:dyDescent="0.15">
      <c r="B15" s="25" t="s">
        <v>17</v>
      </c>
      <c r="C15" s="26">
        <v>11</v>
      </c>
      <c r="D15" s="32" t="s">
        <v>18</v>
      </c>
      <c r="E15" s="32" t="s">
        <v>19</v>
      </c>
      <c r="F15" s="32">
        <v>30000</v>
      </c>
      <c r="G15" s="33" t="s">
        <v>20</v>
      </c>
      <c r="H15" s="33" t="s">
        <v>21</v>
      </c>
      <c r="I15" s="26">
        <v>75700</v>
      </c>
      <c r="J15" s="28">
        <v>100000</v>
      </c>
      <c r="K15" s="34">
        <f t="shared" si="0"/>
        <v>8000</v>
      </c>
      <c r="L15" s="28">
        <f t="shared" si="1"/>
        <v>108000</v>
      </c>
      <c r="M15" s="29" t="s">
        <v>28</v>
      </c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4"/>
    </row>
    <row r="16" spans="1:27" s="8" customFormat="1" ht="12" x14ac:dyDescent="0.15">
      <c r="B16" s="25" t="s">
        <v>23</v>
      </c>
      <c r="C16" s="26">
        <v>3</v>
      </c>
      <c r="D16" s="27" t="s">
        <v>18</v>
      </c>
      <c r="E16" s="27" t="s">
        <v>19</v>
      </c>
      <c r="F16" s="27">
        <v>30000</v>
      </c>
      <c r="G16" s="25" t="s">
        <v>20</v>
      </c>
      <c r="H16" s="25" t="s">
        <v>21</v>
      </c>
      <c r="I16" s="26">
        <v>77300</v>
      </c>
      <c r="J16" s="28">
        <v>6000</v>
      </c>
      <c r="K16" s="28">
        <f t="shared" si="0"/>
        <v>480</v>
      </c>
      <c r="L16" s="28">
        <f t="shared" si="1"/>
        <v>6480</v>
      </c>
      <c r="M16" s="29" t="s">
        <v>29</v>
      </c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4"/>
    </row>
    <row r="17" spans="1:27" s="8" customFormat="1" ht="12" x14ac:dyDescent="0.15">
      <c r="B17" s="25" t="s">
        <v>17</v>
      </c>
      <c r="C17" s="26">
        <v>2</v>
      </c>
      <c r="D17" s="32" t="s">
        <v>18</v>
      </c>
      <c r="E17" s="32" t="s">
        <v>19</v>
      </c>
      <c r="F17" s="32">
        <v>30000</v>
      </c>
      <c r="G17" s="33" t="s">
        <v>20</v>
      </c>
      <c r="H17" s="33" t="s">
        <v>21</v>
      </c>
      <c r="I17" s="26">
        <v>72600</v>
      </c>
      <c r="J17" s="28">
        <v>5000</v>
      </c>
      <c r="K17" s="34">
        <f t="shared" si="0"/>
        <v>400</v>
      </c>
      <c r="L17" s="34">
        <f t="shared" si="1"/>
        <v>5400</v>
      </c>
      <c r="M17" s="29" t="s">
        <v>30</v>
      </c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4"/>
    </row>
    <row r="18" spans="1:27" s="8" customFormat="1" ht="12" x14ac:dyDescent="0.15">
      <c r="B18" s="25" t="s">
        <v>17</v>
      </c>
      <c r="C18" s="26">
        <v>1</v>
      </c>
      <c r="D18" s="27" t="s">
        <v>18</v>
      </c>
      <c r="E18" s="27" t="s">
        <v>19</v>
      </c>
      <c r="F18" s="27">
        <v>30000</v>
      </c>
      <c r="G18" s="25" t="s">
        <v>20</v>
      </c>
      <c r="H18" s="25" t="s">
        <v>21</v>
      </c>
      <c r="I18" s="26">
        <v>75700</v>
      </c>
      <c r="J18" s="28">
        <f>20000+213.99</f>
        <v>20213.990000000002</v>
      </c>
      <c r="K18" s="28">
        <f t="shared" si="0"/>
        <v>1617.1192000000001</v>
      </c>
      <c r="L18" s="28">
        <f t="shared" si="1"/>
        <v>21831.109200000003</v>
      </c>
      <c r="M18" s="29" t="s">
        <v>31</v>
      </c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4"/>
    </row>
    <row r="19" spans="1:27" s="8" customFormat="1" ht="12" x14ac:dyDescent="0.15">
      <c r="B19" s="25" t="s">
        <v>23</v>
      </c>
      <c r="C19" s="26">
        <v>6</v>
      </c>
      <c r="D19" s="27" t="s">
        <v>18</v>
      </c>
      <c r="E19" s="27" t="s">
        <v>19</v>
      </c>
      <c r="F19" s="27">
        <v>30000</v>
      </c>
      <c r="G19" s="25" t="s">
        <v>20</v>
      </c>
      <c r="H19" s="25" t="s">
        <v>21</v>
      </c>
      <c r="I19" s="26">
        <v>75700</v>
      </c>
      <c r="J19" s="28">
        <v>100000</v>
      </c>
      <c r="K19" s="28">
        <f t="shared" si="0"/>
        <v>8000</v>
      </c>
      <c r="L19" s="28">
        <f t="shared" si="1"/>
        <v>108000</v>
      </c>
      <c r="M19" s="29" t="s">
        <v>32</v>
      </c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4"/>
    </row>
    <row r="20" spans="1:27" s="35" customFormat="1" ht="12" x14ac:dyDescent="0.15">
      <c r="I20" s="36"/>
      <c r="J20" s="35">
        <f>SUBTOTAL(9,J8:J19)</f>
        <v>1944444.4465720002</v>
      </c>
      <c r="K20" s="35">
        <f>SUBTOTAL(9,K8:K19)</f>
        <v>155555.55572575997</v>
      </c>
      <c r="L20" s="37">
        <f>SUBTOTAL(9,L8:L19)</f>
        <v>2100000.00229776</v>
      </c>
      <c r="M20" s="38"/>
    </row>
    <row r="21" spans="1:27" s="35" customFormat="1" ht="12" x14ac:dyDescent="0.15">
      <c r="J21" s="36"/>
      <c r="N21" s="38"/>
    </row>
    <row r="22" spans="1:27" x14ac:dyDescent="0.15">
      <c r="M22" s="39"/>
    </row>
    <row r="23" spans="1:27" s="41" customFormat="1" x14ac:dyDescent="0.15">
      <c r="A23" s="40" t="s">
        <v>33</v>
      </c>
      <c r="N23" s="42"/>
    </row>
    <row r="24" spans="1:27" x14ac:dyDescent="0.15">
      <c r="A24" s="6"/>
      <c r="C24" s="9" t="s">
        <v>34</v>
      </c>
      <c r="D24" s="9"/>
      <c r="F24" s="43">
        <v>300000</v>
      </c>
      <c r="J24" s="45"/>
    </row>
    <row r="25" spans="1:27" x14ac:dyDescent="0.15">
      <c r="A25" s="6"/>
      <c r="C25" s="44" t="s">
        <v>35</v>
      </c>
      <c r="D25" s="44"/>
      <c r="F25" s="35">
        <v>2272.6655999999493</v>
      </c>
    </row>
    <row r="26" spans="1:27" ht="14" x14ac:dyDescent="0.2">
      <c r="A26" s="40"/>
      <c r="C26" s="15" t="s">
        <v>36</v>
      </c>
      <c r="D26" s="15"/>
      <c r="F26" s="37">
        <f>F24-F25</f>
        <v>297727.33440000005</v>
      </c>
    </row>
    <row r="27" spans="1:27" x14ac:dyDescent="0.15">
      <c r="A27" s="6"/>
      <c r="F27" s="45"/>
    </row>
    <row r="28" spans="1:27" s="8" customFormat="1" ht="26" x14ac:dyDescent="0.15">
      <c r="B28" s="20" t="s">
        <v>5</v>
      </c>
      <c r="C28" s="20" t="s">
        <v>6</v>
      </c>
      <c r="D28" s="20" t="s">
        <v>7</v>
      </c>
      <c r="E28" s="20" t="s">
        <v>8</v>
      </c>
      <c r="F28" s="20" t="s">
        <v>9</v>
      </c>
      <c r="G28" s="20" t="s">
        <v>10</v>
      </c>
      <c r="H28" s="20" t="s">
        <v>11</v>
      </c>
      <c r="I28" s="20" t="s">
        <v>12</v>
      </c>
      <c r="J28" s="21" t="s">
        <v>13</v>
      </c>
      <c r="K28" s="21" t="s">
        <v>14</v>
      </c>
      <c r="L28" s="21" t="s">
        <v>15</v>
      </c>
      <c r="M28" s="22" t="s">
        <v>16</v>
      </c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4"/>
    </row>
    <row r="29" spans="1:27" s="8" customFormat="1" ht="12" x14ac:dyDescent="0.15">
      <c r="B29" s="25" t="s">
        <v>23</v>
      </c>
      <c r="C29" s="26" t="s">
        <v>37</v>
      </c>
      <c r="D29" s="27" t="s">
        <v>38</v>
      </c>
      <c r="E29" s="27" t="s">
        <v>39</v>
      </c>
      <c r="F29" s="27">
        <v>30000</v>
      </c>
      <c r="G29" s="25" t="s">
        <v>20</v>
      </c>
      <c r="H29" s="25" t="s">
        <v>21</v>
      </c>
      <c r="I29" s="26">
        <v>70000</v>
      </c>
      <c r="J29" s="28">
        <v>7000</v>
      </c>
      <c r="K29" s="28">
        <f>J29*0.08</f>
        <v>560</v>
      </c>
      <c r="L29" s="28">
        <f>J29+K29</f>
        <v>7560</v>
      </c>
      <c r="M29" s="29" t="s">
        <v>40</v>
      </c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4"/>
    </row>
    <row r="30" spans="1:27" s="8" customFormat="1" ht="12" x14ac:dyDescent="0.15">
      <c r="B30" s="25" t="s">
        <v>23</v>
      </c>
      <c r="C30" s="26" t="s">
        <v>37</v>
      </c>
      <c r="D30" s="27" t="s">
        <v>18</v>
      </c>
      <c r="E30" s="27" t="s">
        <v>19</v>
      </c>
      <c r="F30" s="27">
        <v>30000</v>
      </c>
      <c r="G30" s="25" t="s">
        <v>20</v>
      </c>
      <c r="H30" s="25" t="s">
        <v>21</v>
      </c>
      <c r="I30" s="26">
        <v>71600</v>
      </c>
      <c r="J30" s="28">
        <v>5000</v>
      </c>
      <c r="K30" s="28">
        <f>J30*0.08</f>
        <v>400</v>
      </c>
      <c r="L30" s="28">
        <f>J30+K30</f>
        <v>5400</v>
      </c>
      <c r="M30" s="29" t="s">
        <v>41</v>
      </c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4"/>
    </row>
    <row r="31" spans="1:27" s="8" customFormat="1" ht="12" x14ac:dyDescent="0.15">
      <c r="B31" s="25" t="s">
        <v>23</v>
      </c>
      <c r="C31" s="26" t="s">
        <v>42</v>
      </c>
      <c r="D31" s="27" t="s">
        <v>18</v>
      </c>
      <c r="E31" s="27" t="s">
        <v>19</v>
      </c>
      <c r="F31" s="27">
        <v>30000</v>
      </c>
      <c r="G31" s="25" t="s">
        <v>20</v>
      </c>
      <c r="H31" s="25" t="s">
        <v>21</v>
      </c>
      <c r="I31" s="26">
        <v>71200</v>
      </c>
      <c r="J31" s="28">
        <v>55000</v>
      </c>
      <c r="K31" s="28">
        <f t="shared" ref="K31:K34" si="2">J31*0.08</f>
        <v>4400</v>
      </c>
      <c r="L31" s="28">
        <f t="shared" ref="L31:L34" si="3">J31+K31</f>
        <v>59400</v>
      </c>
      <c r="M31" s="29" t="s">
        <v>43</v>
      </c>
      <c r="N31" s="23"/>
      <c r="O31" s="31"/>
      <c r="P31" s="31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4"/>
    </row>
    <row r="32" spans="1:27" s="8" customFormat="1" ht="12" x14ac:dyDescent="0.15">
      <c r="B32" s="25" t="s">
        <v>23</v>
      </c>
      <c r="C32" s="26" t="s">
        <v>44</v>
      </c>
      <c r="D32" s="27" t="s">
        <v>18</v>
      </c>
      <c r="E32" s="27" t="s">
        <v>19</v>
      </c>
      <c r="F32" s="27">
        <v>30000</v>
      </c>
      <c r="G32" s="25" t="s">
        <v>20</v>
      </c>
      <c r="H32" s="25" t="s">
        <v>21</v>
      </c>
      <c r="I32" s="26">
        <v>71200</v>
      </c>
      <c r="J32" s="28">
        <f>91885.4577777778-53212-5000</f>
        <v>33673.457777777803</v>
      </c>
      <c r="K32" s="28">
        <f t="shared" si="2"/>
        <v>2693.8766222222243</v>
      </c>
      <c r="L32" s="28">
        <f t="shared" si="3"/>
        <v>36367.334400000029</v>
      </c>
      <c r="M32" s="29" t="s">
        <v>45</v>
      </c>
      <c r="N32" s="23"/>
      <c r="O32" s="31"/>
      <c r="P32" s="31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4"/>
    </row>
    <row r="33" spans="1:27" s="8" customFormat="1" ht="12" x14ac:dyDescent="0.15">
      <c r="B33" s="25" t="s">
        <v>23</v>
      </c>
      <c r="C33" s="26" t="s">
        <v>37</v>
      </c>
      <c r="D33" s="27" t="s">
        <v>38</v>
      </c>
      <c r="E33" s="27" t="s">
        <v>39</v>
      </c>
      <c r="F33" s="27">
        <v>30000</v>
      </c>
      <c r="G33" s="25" t="s">
        <v>46</v>
      </c>
      <c r="H33" s="25" t="s">
        <v>47</v>
      </c>
      <c r="I33" s="26">
        <v>70000</v>
      </c>
      <c r="J33" s="28">
        <v>116788</v>
      </c>
      <c r="K33" s="28">
        <f t="shared" si="2"/>
        <v>9343.0400000000009</v>
      </c>
      <c r="L33" s="28">
        <f t="shared" si="3"/>
        <v>126131.04000000001</v>
      </c>
      <c r="M33" s="29"/>
      <c r="N33" s="23"/>
      <c r="O33" s="31"/>
      <c r="P33" s="31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4"/>
    </row>
    <row r="34" spans="1:27" s="8" customFormat="1" ht="12" x14ac:dyDescent="0.15">
      <c r="B34" s="25" t="s">
        <v>23</v>
      </c>
      <c r="C34" s="26" t="s">
        <v>48</v>
      </c>
      <c r="D34" s="27" t="s">
        <v>18</v>
      </c>
      <c r="E34" s="27" t="s">
        <v>19</v>
      </c>
      <c r="F34" s="27">
        <v>30000</v>
      </c>
      <c r="G34" s="25" t="s">
        <v>49</v>
      </c>
      <c r="H34" s="25" t="s">
        <v>50</v>
      </c>
      <c r="I34" s="26">
        <v>71200</v>
      </c>
      <c r="J34" s="28">
        <v>58212</v>
      </c>
      <c r="K34" s="28">
        <f t="shared" si="2"/>
        <v>4656.96</v>
      </c>
      <c r="L34" s="28">
        <f t="shared" si="3"/>
        <v>62868.959999999999</v>
      </c>
      <c r="M34" s="29"/>
      <c r="N34" s="23"/>
      <c r="O34" s="31"/>
      <c r="P34" s="31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4"/>
    </row>
    <row r="35" spans="1:27" x14ac:dyDescent="0.15">
      <c r="J35" s="35">
        <f>SUBTOTAL(9,J29:J34)</f>
        <v>275673.4577777778</v>
      </c>
      <c r="K35" s="35">
        <f t="shared" ref="K35:L35" si="4">SUBTOTAL(9,K29:K34)</f>
        <v>22053.876622222226</v>
      </c>
      <c r="L35" s="37">
        <f t="shared" si="4"/>
        <v>297727.33440000005</v>
      </c>
      <c r="N35" s="2"/>
    </row>
    <row r="37" spans="1:27" s="17" customFormat="1" ht="14" x14ac:dyDescent="0.2">
      <c r="N37" s="19"/>
    </row>
    <row r="38" spans="1:27" s="41" customFormat="1" x14ac:dyDescent="0.15">
      <c r="A38" s="40" t="s">
        <v>51</v>
      </c>
      <c r="N38" s="42"/>
    </row>
    <row r="39" spans="1:27" s="41" customFormat="1" x14ac:dyDescent="0.15">
      <c r="A39" s="40"/>
      <c r="N39" s="42"/>
    </row>
    <row r="40" spans="1:27" x14ac:dyDescent="0.15">
      <c r="A40" s="6"/>
      <c r="C40" s="9" t="s">
        <v>34</v>
      </c>
      <c r="D40" s="9"/>
    </row>
    <row r="41" spans="1:27" x14ac:dyDescent="0.15">
      <c r="A41" s="6"/>
      <c r="C41" s="44"/>
      <c r="D41" s="44"/>
    </row>
    <row r="42" spans="1:27" s="8" customFormat="1" ht="26" x14ac:dyDescent="0.15">
      <c r="B42" s="20" t="s">
        <v>5</v>
      </c>
      <c r="C42" s="20" t="s">
        <v>6</v>
      </c>
      <c r="D42" s="20" t="s">
        <v>7</v>
      </c>
      <c r="E42" s="20" t="s">
        <v>8</v>
      </c>
      <c r="F42" s="20" t="s">
        <v>9</v>
      </c>
      <c r="G42" s="20" t="s">
        <v>10</v>
      </c>
      <c r="H42" s="20" t="s">
        <v>11</v>
      </c>
      <c r="I42" s="20" t="s">
        <v>12</v>
      </c>
      <c r="J42" s="21" t="s">
        <v>13</v>
      </c>
      <c r="K42" s="21" t="s">
        <v>14</v>
      </c>
      <c r="L42" s="21" t="s">
        <v>15</v>
      </c>
      <c r="M42" s="22" t="s">
        <v>16</v>
      </c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4"/>
    </row>
    <row r="43" spans="1:27" s="8" customFormat="1" ht="12" x14ac:dyDescent="0.15">
      <c r="B43" s="25" t="s">
        <v>23</v>
      </c>
      <c r="C43" s="26" t="s">
        <v>52</v>
      </c>
      <c r="D43" s="27" t="s">
        <v>18</v>
      </c>
      <c r="E43" s="27" t="s">
        <v>53</v>
      </c>
      <c r="F43" s="27">
        <v>30000</v>
      </c>
      <c r="G43" s="25" t="s">
        <v>20</v>
      </c>
      <c r="H43" s="25" t="s">
        <v>21</v>
      </c>
      <c r="I43" s="26">
        <v>70000</v>
      </c>
      <c r="J43" s="28">
        <v>11000</v>
      </c>
      <c r="K43" s="28">
        <f>J43*0.08</f>
        <v>880</v>
      </c>
      <c r="L43" s="28">
        <f>J43+K43</f>
        <v>11880</v>
      </c>
      <c r="M43" s="29" t="s">
        <v>40</v>
      </c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4"/>
    </row>
    <row r="44" spans="1:27" s="8" customFormat="1" ht="12" x14ac:dyDescent="0.15">
      <c r="B44" s="25" t="s">
        <v>17</v>
      </c>
      <c r="C44" s="26" t="s">
        <v>52</v>
      </c>
      <c r="D44" s="27" t="s">
        <v>54</v>
      </c>
      <c r="E44" s="27" t="s">
        <v>55</v>
      </c>
      <c r="F44" s="27">
        <v>30000</v>
      </c>
      <c r="G44" s="25" t="s">
        <v>20</v>
      </c>
      <c r="H44" s="25" t="s">
        <v>21</v>
      </c>
      <c r="I44" s="26">
        <v>70000</v>
      </c>
      <c r="J44" s="28">
        <v>30547.222222222219</v>
      </c>
      <c r="K44" s="28">
        <f>J44*0.08</f>
        <v>2443.7777777777774</v>
      </c>
      <c r="L44" s="28">
        <f>J44+K44</f>
        <v>32991</v>
      </c>
      <c r="M44" s="29" t="s">
        <v>56</v>
      </c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4"/>
    </row>
    <row r="45" spans="1:27" x14ac:dyDescent="0.15">
      <c r="J45" s="35">
        <f>SUBTOTAL(9,J43:J44)</f>
        <v>41547.222222222219</v>
      </c>
      <c r="K45" s="35">
        <f>SUBTOTAL(9,K43:K44)</f>
        <v>3323.7777777777774</v>
      </c>
      <c r="L45" s="37">
        <f>SUBTOTAL(9,L43:L44)</f>
        <v>44871</v>
      </c>
      <c r="N45" s="2"/>
    </row>
    <row r="47" spans="1:27" s="17" customFormat="1" ht="14" x14ac:dyDescent="0.2">
      <c r="C47" s="15" t="s">
        <v>57</v>
      </c>
      <c r="O47" s="19"/>
    </row>
    <row r="48" spans="1:27" s="17" customFormat="1" ht="14" x14ac:dyDescent="0.2">
      <c r="F48" s="46" t="s">
        <v>58</v>
      </c>
      <c r="G48" s="47" t="s">
        <v>59</v>
      </c>
      <c r="H48" s="47" t="s">
        <v>60</v>
      </c>
      <c r="I48" s="46" t="s">
        <v>15</v>
      </c>
      <c r="O48" s="19"/>
    </row>
    <row r="49" spans="5:15" s="17" customFormat="1" ht="14" x14ac:dyDescent="0.2">
      <c r="E49" s="48" t="s">
        <v>23</v>
      </c>
      <c r="F49" s="49">
        <v>297727.33440000005</v>
      </c>
      <c r="G49" s="49">
        <v>344768.89487219998</v>
      </c>
      <c r="H49" s="49">
        <v>11880</v>
      </c>
      <c r="I49" s="50">
        <f>SUM(F49:H49)</f>
        <v>654376.22927220003</v>
      </c>
      <c r="O49" s="19"/>
    </row>
    <row r="50" spans="5:15" s="17" customFormat="1" ht="14" x14ac:dyDescent="0.2">
      <c r="E50" s="48" t="s">
        <v>17</v>
      </c>
      <c r="F50" s="51">
        <v>0</v>
      </c>
      <c r="G50" s="49">
        <v>1755231.1092000001</v>
      </c>
      <c r="H50" s="49">
        <v>32991</v>
      </c>
      <c r="I50" s="50">
        <f>SUM(F50:H50)</f>
        <v>1788222.1092000001</v>
      </c>
      <c r="O50" s="19"/>
    </row>
    <row r="51" spans="5:15" s="17" customFormat="1" ht="14" x14ac:dyDescent="0.2">
      <c r="F51" s="52">
        <f>SUM(F49:F50)</f>
        <v>297727.33440000005</v>
      </c>
      <c r="G51" s="52">
        <f>SUM(G49:G50)</f>
        <v>2100000.0040722</v>
      </c>
      <c r="H51" s="52">
        <f>SUM(H49:H50)</f>
        <v>44871</v>
      </c>
      <c r="I51" s="53">
        <f>SUM(I49:I50)</f>
        <v>2442598.3384722001</v>
      </c>
      <c r="O51" s="19"/>
    </row>
    <row r="52" spans="5:15" s="17" customFormat="1" ht="14" x14ac:dyDescent="0.2">
      <c r="O52" s="19"/>
    </row>
  </sheetData>
  <autoFilter ref="A7:AA19" xr:uid="{6D7FF7A0-5B9B-49A2-988F-93781E96508F}"/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C27D5-20FA-45C0-920E-4453801A0CF0}">
  <sheetPr>
    <tabColor theme="5" tint="0.39997558519241921"/>
  </sheetPr>
  <dimension ref="A3:C18"/>
  <sheetViews>
    <sheetView workbookViewId="0">
      <selection activeCell="A32" sqref="A32"/>
    </sheetView>
  </sheetViews>
  <sheetFormatPr baseColWidth="10" defaultColWidth="8.83203125" defaultRowHeight="14" x14ac:dyDescent="0.2"/>
  <cols>
    <col min="1" max="1" width="74.83203125" style="54" bestFit="1" customWidth="1"/>
    <col min="2" max="2" width="25.5" style="54" bestFit="1" customWidth="1"/>
    <col min="3" max="3" width="26.1640625" style="54" bestFit="1" customWidth="1"/>
    <col min="4" max="16384" width="8.83203125" style="54"/>
  </cols>
  <sheetData>
    <row r="3" spans="1:3" x14ac:dyDescent="0.2">
      <c r="A3" s="116" t="s">
        <v>61</v>
      </c>
      <c r="B3" s="54" t="s">
        <v>62</v>
      </c>
      <c r="C3" s="54" t="s">
        <v>63</v>
      </c>
    </row>
    <row r="4" spans="1:3" x14ac:dyDescent="0.2">
      <c r="A4" s="55" t="s">
        <v>23</v>
      </c>
      <c r="B4" s="56">
        <v>319230.456572</v>
      </c>
      <c r="C4" s="56">
        <v>25538.43652576</v>
      </c>
    </row>
    <row r="5" spans="1:3" x14ac:dyDescent="0.2">
      <c r="A5" s="57" t="s">
        <v>98</v>
      </c>
      <c r="B5" s="56">
        <v>17784.366572000003</v>
      </c>
      <c r="C5" s="56">
        <v>1422.7493257600001</v>
      </c>
    </row>
    <row r="6" spans="1:3" x14ac:dyDescent="0.2">
      <c r="A6" s="57" t="s">
        <v>25</v>
      </c>
      <c r="B6" s="56">
        <v>16800</v>
      </c>
      <c r="C6" s="56">
        <v>1344</v>
      </c>
    </row>
    <row r="7" spans="1:3" x14ac:dyDescent="0.2">
      <c r="A7" s="57" t="s">
        <v>99</v>
      </c>
      <c r="B7" s="56">
        <v>5646.09</v>
      </c>
      <c r="C7" s="56">
        <v>451.68720000000002</v>
      </c>
    </row>
    <row r="8" spans="1:3" x14ac:dyDescent="0.2">
      <c r="A8" s="57" t="s">
        <v>27</v>
      </c>
      <c r="B8" s="56">
        <v>25000</v>
      </c>
      <c r="C8" s="56">
        <v>2000</v>
      </c>
    </row>
    <row r="9" spans="1:3" x14ac:dyDescent="0.2">
      <c r="A9" s="57" t="s">
        <v>32</v>
      </c>
      <c r="B9" s="56">
        <v>100000</v>
      </c>
      <c r="C9" s="56">
        <v>8000</v>
      </c>
    </row>
    <row r="10" spans="1:3" x14ac:dyDescent="0.2">
      <c r="A10" s="57" t="s">
        <v>24</v>
      </c>
      <c r="B10" s="56">
        <v>118000</v>
      </c>
      <c r="C10" s="56">
        <v>9440</v>
      </c>
    </row>
    <row r="11" spans="1:3" x14ac:dyDescent="0.2">
      <c r="A11" s="57" t="s">
        <v>29</v>
      </c>
      <c r="B11" s="56">
        <v>6000</v>
      </c>
      <c r="C11" s="56">
        <v>480</v>
      </c>
    </row>
    <row r="12" spans="1:3" x14ac:dyDescent="0.2">
      <c r="A12" s="57" t="s">
        <v>26</v>
      </c>
      <c r="B12" s="56">
        <v>30000</v>
      </c>
      <c r="C12" s="56">
        <v>2400</v>
      </c>
    </row>
    <row r="13" spans="1:3" x14ac:dyDescent="0.2">
      <c r="A13" s="55" t="s">
        <v>17</v>
      </c>
      <c r="B13" s="56">
        <v>1625213.99</v>
      </c>
      <c r="C13" s="56">
        <v>130017.1192</v>
      </c>
    </row>
    <row r="14" spans="1:3" x14ac:dyDescent="0.2">
      <c r="A14" s="57" t="s">
        <v>31</v>
      </c>
      <c r="B14" s="56">
        <v>20213.990000000002</v>
      </c>
      <c r="C14" s="56">
        <v>1617.1192000000001</v>
      </c>
    </row>
    <row r="15" spans="1:3" x14ac:dyDescent="0.2">
      <c r="A15" s="57" t="s">
        <v>22</v>
      </c>
      <c r="B15" s="56">
        <v>1500000</v>
      </c>
      <c r="C15" s="56">
        <v>120000</v>
      </c>
    </row>
    <row r="16" spans="1:3" x14ac:dyDescent="0.2">
      <c r="A16" s="57" t="s">
        <v>30</v>
      </c>
      <c r="B16" s="56">
        <v>5000</v>
      </c>
      <c r="C16" s="56">
        <v>400</v>
      </c>
    </row>
    <row r="17" spans="1:3" x14ac:dyDescent="0.2">
      <c r="A17" s="57" t="s">
        <v>28</v>
      </c>
      <c r="B17" s="56">
        <v>100000</v>
      </c>
      <c r="C17" s="56">
        <v>8000</v>
      </c>
    </row>
    <row r="18" spans="1:3" x14ac:dyDescent="0.2">
      <c r="A18" s="55" t="s">
        <v>64</v>
      </c>
      <c r="B18" s="56">
        <v>1944444.4465719999</v>
      </c>
      <c r="C18" s="56">
        <v>155555.55572576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99152-D0B3-4157-928D-B137C132ECB3}">
  <sheetPr>
    <tabColor rgb="FFACB3F6"/>
  </sheetPr>
  <dimension ref="A1:P57"/>
  <sheetViews>
    <sheetView tabSelected="1" topLeftCell="A20" zoomScale="90" zoomScaleNormal="90" workbookViewId="0">
      <selection activeCell="A3" sqref="A3"/>
    </sheetView>
  </sheetViews>
  <sheetFormatPr baseColWidth="10" defaultColWidth="9.1640625" defaultRowHeight="14" x14ac:dyDescent="0.2"/>
  <cols>
    <col min="1" max="2" width="4.5" style="54" customWidth="1"/>
    <col min="3" max="3" width="12.6640625" style="54" customWidth="1"/>
    <col min="4" max="4" width="30" style="54" customWidth="1"/>
    <col min="5" max="5" width="13.83203125" style="54" customWidth="1"/>
    <col min="6" max="6" width="13.83203125" style="88" customWidth="1"/>
    <col min="7" max="8" width="13.1640625" style="88" customWidth="1"/>
    <col min="9" max="9" width="12.5" style="54" customWidth="1"/>
    <col min="10" max="11" width="13.5" style="54" bestFit="1" customWidth="1"/>
    <col min="12" max="12" width="12.6640625" style="54" customWidth="1"/>
    <col min="13" max="13" width="12.5" style="54" bestFit="1" customWidth="1"/>
    <col min="14" max="16384" width="9.1640625" style="54"/>
  </cols>
  <sheetData>
    <row r="1" spans="1:16" s="59" customFormat="1" ht="19" x14ac:dyDescent="0.25">
      <c r="A1" s="58" t="s">
        <v>65</v>
      </c>
      <c r="F1" s="60"/>
      <c r="G1" s="60"/>
      <c r="H1" s="60"/>
      <c r="P1" s="61"/>
    </row>
    <row r="2" spans="1:16" customFormat="1" ht="16" x14ac:dyDescent="0.2">
      <c r="A2" s="62" t="s">
        <v>66</v>
      </c>
      <c r="F2" s="63"/>
      <c r="P2" s="64"/>
    </row>
    <row r="3" spans="1:16" s="59" customFormat="1" x14ac:dyDescent="0.2">
      <c r="A3" s="65" t="s">
        <v>67</v>
      </c>
      <c r="P3" s="61"/>
    </row>
    <row r="4" spans="1:16" s="59" customFormat="1" ht="15" x14ac:dyDescent="0.2">
      <c r="B4" s="66"/>
      <c r="P4" s="61"/>
    </row>
    <row r="5" spans="1:16" s="59" customFormat="1" ht="15" x14ac:dyDescent="0.2">
      <c r="B5" s="66"/>
      <c r="C5" s="67" t="s">
        <v>68</v>
      </c>
      <c r="D5" s="68"/>
      <c r="E5" s="68"/>
      <c r="F5" s="68"/>
      <c r="G5" s="68"/>
      <c r="I5" s="69"/>
      <c r="J5" s="70"/>
      <c r="P5" s="61"/>
    </row>
    <row r="6" spans="1:16" s="59" customFormat="1" ht="15" x14ac:dyDescent="0.2">
      <c r="B6" s="66"/>
      <c r="C6" s="71"/>
      <c r="D6" s="72" t="s">
        <v>69</v>
      </c>
      <c r="E6" s="72" t="s">
        <v>70</v>
      </c>
      <c r="F6" s="72" t="s">
        <v>71</v>
      </c>
      <c r="G6" s="72" t="s">
        <v>72</v>
      </c>
      <c r="I6" s="73"/>
      <c r="J6" s="54"/>
      <c r="P6" s="61"/>
    </row>
    <row r="7" spans="1:16" s="59" customFormat="1" ht="15" x14ac:dyDescent="0.2">
      <c r="B7" s="66"/>
      <c r="C7" s="74">
        <v>90713</v>
      </c>
      <c r="D7" s="75">
        <v>2995833.21</v>
      </c>
      <c r="E7" s="76">
        <v>2348151.14</v>
      </c>
      <c r="F7" s="76">
        <v>133558.32</v>
      </c>
      <c r="G7" s="76">
        <f>D7-E7-F7</f>
        <v>514123.74999999983</v>
      </c>
      <c r="I7" s="77"/>
      <c r="J7" s="56"/>
      <c r="K7" s="78"/>
      <c r="P7" s="61"/>
    </row>
    <row r="8" spans="1:16" s="59" customFormat="1" ht="15" x14ac:dyDescent="0.2">
      <c r="B8" s="66"/>
      <c r="C8" s="74">
        <v>90714</v>
      </c>
      <c r="D8" s="75">
        <v>9801178.2599999998</v>
      </c>
      <c r="E8" s="76">
        <v>8011360.3300000001</v>
      </c>
      <c r="F8" s="76">
        <v>29835.200000000001</v>
      </c>
      <c r="G8" s="76">
        <f t="shared" ref="G8:G9" si="0">D8-E8-F8</f>
        <v>1759982.7299999997</v>
      </c>
      <c r="I8" s="79"/>
      <c r="J8" s="80"/>
      <c r="K8" s="78"/>
      <c r="P8" s="61"/>
    </row>
    <row r="9" spans="1:16" s="59" customFormat="1" ht="15" x14ac:dyDescent="0.2">
      <c r="B9" s="66"/>
      <c r="C9" s="74">
        <v>90715</v>
      </c>
      <c r="D9" s="75">
        <v>468661.54</v>
      </c>
      <c r="E9" s="76">
        <v>467116.16</v>
      </c>
      <c r="F9" s="76">
        <v>24.95</v>
      </c>
      <c r="G9" s="76">
        <f t="shared" si="0"/>
        <v>1520.4300000000046</v>
      </c>
      <c r="K9" s="78"/>
      <c r="P9" s="61"/>
    </row>
    <row r="10" spans="1:16" s="59" customFormat="1" ht="15" x14ac:dyDescent="0.2">
      <c r="B10" s="66"/>
      <c r="C10" s="76"/>
      <c r="D10" s="71">
        <f>SUM(D7:D9)</f>
        <v>13265673.009999998</v>
      </c>
      <c r="E10" s="71">
        <f t="shared" ref="E10:G10" si="1">SUM(E7:E9)</f>
        <v>10826627.630000001</v>
      </c>
      <c r="F10" s="71">
        <f t="shared" si="1"/>
        <v>163418.47000000003</v>
      </c>
      <c r="G10" s="71">
        <f t="shared" si="1"/>
        <v>2275626.9099999997</v>
      </c>
      <c r="K10" s="78"/>
      <c r="P10" s="61"/>
    </row>
    <row r="11" spans="1:16" s="59" customFormat="1" ht="15" x14ac:dyDescent="0.2">
      <c r="B11" s="66"/>
      <c r="J11" s="81"/>
      <c r="P11" s="61"/>
    </row>
    <row r="12" spans="1:16" s="59" customFormat="1" ht="15" x14ac:dyDescent="0.2">
      <c r="B12" s="66"/>
      <c r="F12" s="82"/>
      <c r="J12" s="78"/>
      <c r="P12" s="61"/>
    </row>
    <row r="13" spans="1:16" s="59" customFormat="1" x14ac:dyDescent="0.2">
      <c r="A13" s="83">
        <v>1</v>
      </c>
      <c r="B13" s="84" t="s">
        <v>73</v>
      </c>
      <c r="C13" s="85"/>
      <c r="D13" s="85"/>
      <c r="E13" s="86"/>
      <c r="F13" s="87"/>
      <c r="G13" s="85"/>
      <c r="H13" s="85"/>
      <c r="P13" s="61"/>
    </row>
    <row r="14" spans="1:16" s="85" customFormat="1" x14ac:dyDescent="0.2">
      <c r="A14" s="54"/>
      <c r="B14" s="54"/>
      <c r="C14" s="54"/>
      <c r="D14" s="54">
        <v>90713</v>
      </c>
      <c r="E14" s="77">
        <f>G7</f>
        <v>514123.74999999983</v>
      </c>
      <c r="F14" s="88"/>
      <c r="G14" s="88"/>
      <c r="H14" s="88"/>
    </row>
    <row r="15" spans="1:16" x14ac:dyDescent="0.2">
      <c r="D15" s="86">
        <v>90714</v>
      </c>
      <c r="E15" s="77">
        <f>G8</f>
        <v>1759982.7299999997</v>
      </c>
    </row>
    <row r="16" spans="1:16" x14ac:dyDescent="0.2">
      <c r="D16" s="86">
        <v>90715</v>
      </c>
      <c r="E16" s="77">
        <f>G9</f>
        <v>1520.4300000000046</v>
      </c>
    </row>
    <row r="17" spans="1:16" x14ac:dyDescent="0.2">
      <c r="D17" s="86"/>
      <c r="E17" s="77">
        <v>0</v>
      </c>
    </row>
    <row r="18" spans="1:16" x14ac:dyDescent="0.2">
      <c r="D18" s="89" t="s">
        <v>74</v>
      </c>
      <c r="E18" s="90">
        <f>SUM(E14:E17)</f>
        <v>2275626.9099999997</v>
      </c>
    </row>
    <row r="19" spans="1:16" x14ac:dyDescent="0.2">
      <c r="D19" s="86"/>
      <c r="E19" s="90"/>
      <c r="G19" s="91"/>
      <c r="H19" s="91"/>
    </row>
    <row r="20" spans="1:16" s="94" customFormat="1" x14ac:dyDescent="0.2">
      <c r="A20" s="92">
        <v>2</v>
      </c>
      <c r="B20" s="93" t="s">
        <v>75</v>
      </c>
      <c r="C20" s="54"/>
      <c r="D20" s="54"/>
      <c r="E20" s="54"/>
      <c r="F20" s="88"/>
      <c r="G20" s="88"/>
      <c r="H20" s="88"/>
    </row>
    <row r="21" spans="1:16" x14ac:dyDescent="0.2">
      <c r="A21" s="94"/>
      <c r="B21" s="94"/>
      <c r="C21" s="94"/>
      <c r="D21" s="95" t="s">
        <v>76</v>
      </c>
      <c r="E21" s="90">
        <f>217811.568400001+718.78</f>
        <v>218530.34840000101</v>
      </c>
      <c r="F21" s="91"/>
    </row>
    <row r="22" spans="1:16" x14ac:dyDescent="0.2">
      <c r="A22" s="94"/>
      <c r="B22" s="94"/>
      <c r="C22" s="94"/>
      <c r="D22" s="96" t="s">
        <v>77</v>
      </c>
      <c r="E22" s="97">
        <v>-210366.98879999999</v>
      </c>
      <c r="F22" s="98"/>
      <c r="I22" s="56"/>
    </row>
    <row r="23" spans="1:16" x14ac:dyDescent="0.2">
      <c r="A23" s="94"/>
      <c r="B23" s="94"/>
      <c r="C23" s="94"/>
      <c r="D23" s="96" t="s">
        <v>78</v>
      </c>
      <c r="E23" s="97">
        <v>27444.478799999993</v>
      </c>
      <c r="F23" s="98"/>
    </row>
    <row r="24" spans="1:16" x14ac:dyDescent="0.2">
      <c r="A24" s="94"/>
      <c r="B24" s="94"/>
      <c r="C24" s="94"/>
      <c r="D24" s="96" t="s">
        <v>79</v>
      </c>
      <c r="E24" s="97">
        <v>12374.604000000001</v>
      </c>
      <c r="F24" s="98"/>
      <c r="I24" s="56"/>
      <c r="K24" s="77"/>
    </row>
    <row r="25" spans="1:16" s="94" customFormat="1" x14ac:dyDescent="0.2">
      <c r="D25" s="95" t="s">
        <v>80</v>
      </c>
      <c r="E25" s="90">
        <v>136556.14079999999</v>
      </c>
      <c r="F25" s="88"/>
      <c r="G25" s="88"/>
      <c r="H25" s="88"/>
      <c r="I25" s="90"/>
    </row>
    <row r="26" spans="1:16" s="94" customFormat="1" x14ac:dyDescent="0.2">
      <c r="A26" s="54"/>
      <c r="B26" s="54"/>
      <c r="C26" s="54"/>
      <c r="D26" s="99" t="s">
        <v>15</v>
      </c>
      <c r="E26" s="90">
        <f>SUM(E21:E25)</f>
        <v>184538.58320000101</v>
      </c>
      <c r="F26" s="88"/>
      <c r="G26" s="88"/>
      <c r="H26" s="88"/>
      <c r="I26" s="100"/>
      <c r="K26" s="100"/>
    </row>
    <row r="27" spans="1:16" x14ac:dyDescent="0.2">
      <c r="A27" s="94"/>
      <c r="B27" s="94"/>
      <c r="C27" s="94"/>
      <c r="D27" s="99"/>
      <c r="E27" s="90"/>
    </row>
    <row r="28" spans="1:16" s="94" customFormat="1" x14ac:dyDescent="0.2">
      <c r="A28" s="101">
        <v>3</v>
      </c>
      <c r="B28" s="102" t="s">
        <v>81</v>
      </c>
      <c r="C28" s="103"/>
      <c r="D28" s="54"/>
      <c r="E28" s="104">
        <f>E18-E26</f>
        <v>2091088.3267999988</v>
      </c>
      <c r="F28" s="105" t="s">
        <v>82</v>
      </c>
      <c r="G28" s="88"/>
      <c r="H28" s="88"/>
      <c r="I28" s="100"/>
    </row>
    <row r="29" spans="1:16" x14ac:dyDescent="0.2">
      <c r="A29" s="94"/>
      <c r="B29" s="94"/>
      <c r="C29" s="94"/>
      <c r="D29" s="99"/>
      <c r="E29" s="90"/>
      <c r="K29" s="56"/>
    </row>
    <row r="30" spans="1:16" x14ac:dyDescent="0.2">
      <c r="A30" s="94"/>
      <c r="B30" s="106" t="s">
        <v>83</v>
      </c>
      <c r="C30" s="94"/>
      <c r="D30" s="99"/>
      <c r="E30" s="90"/>
    </row>
    <row r="31" spans="1:16" s="88" customFormat="1" x14ac:dyDescent="0.2">
      <c r="A31" s="54"/>
      <c r="B31" s="54"/>
      <c r="C31" s="54"/>
      <c r="D31" s="54"/>
      <c r="E31" s="77"/>
      <c r="I31" s="54"/>
      <c r="J31" s="54"/>
      <c r="K31" s="54"/>
      <c r="L31" s="54"/>
      <c r="M31" s="54"/>
      <c r="N31" s="54"/>
      <c r="O31" s="54"/>
      <c r="P31" s="54"/>
    </row>
    <row r="33" spans="1:11" x14ac:dyDescent="0.2">
      <c r="A33" s="92">
        <v>2</v>
      </c>
      <c r="B33" s="93" t="s">
        <v>84</v>
      </c>
      <c r="G33" s="107"/>
      <c r="H33" s="107"/>
      <c r="J33" s="80"/>
      <c r="K33" s="108"/>
    </row>
    <row r="34" spans="1:11" x14ac:dyDescent="0.2">
      <c r="D34" s="95" t="s">
        <v>85</v>
      </c>
      <c r="E34" s="77">
        <v>130000</v>
      </c>
      <c r="F34" s="91" t="s">
        <v>86</v>
      </c>
      <c r="J34" s="77"/>
    </row>
    <row r="35" spans="1:11" x14ac:dyDescent="0.2">
      <c r="D35" s="95" t="s">
        <v>87</v>
      </c>
      <c r="E35" s="77">
        <f>1000*12/2</f>
        <v>6000</v>
      </c>
      <c r="F35" s="91" t="s">
        <v>88</v>
      </c>
      <c r="J35" s="77"/>
    </row>
    <row r="36" spans="1:11" x14ac:dyDescent="0.2">
      <c r="D36" s="95" t="s">
        <v>89</v>
      </c>
      <c r="E36" s="77">
        <v>22230.458215000002</v>
      </c>
      <c r="F36" s="91"/>
      <c r="J36" s="77"/>
    </row>
    <row r="37" spans="1:11" x14ac:dyDescent="0.2">
      <c r="D37" s="95" t="s">
        <v>90</v>
      </c>
      <c r="E37" s="51">
        <v>5000</v>
      </c>
      <c r="F37" s="91" t="s">
        <v>91</v>
      </c>
      <c r="J37" s="90"/>
    </row>
    <row r="38" spans="1:11" x14ac:dyDescent="0.2">
      <c r="D38" s="95" t="s">
        <v>92</v>
      </c>
      <c r="E38" s="77">
        <v>25000</v>
      </c>
      <c r="F38" s="109" t="s">
        <v>93</v>
      </c>
      <c r="I38" s="56"/>
      <c r="J38" s="77"/>
    </row>
    <row r="39" spans="1:11" x14ac:dyDescent="0.2">
      <c r="D39" s="95" t="s">
        <v>29</v>
      </c>
      <c r="E39" s="77">
        <v>6000</v>
      </c>
      <c r="F39" s="110"/>
      <c r="J39" s="77"/>
      <c r="K39" s="56"/>
    </row>
    <row r="40" spans="1:11" x14ac:dyDescent="0.2">
      <c r="D40" s="95" t="s">
        <v>22</v>
      </c>
      <c r="E40" s="77">
        <v>1500000</v>
      </c>
      <c r="F40" s="110"/>
    </row>
    <row r="41" spans="1:11" x14ac:dyDescent="0.2">
      <c r="D41" s="95" t="s">
        <v>94</v>
      </c>
      <c r="E41" s="77">
        <v>100000</v>
      </c>
      <c r="F41" s="109"/>
    </row>
    <row r="42" spans="1:11" x14ac:dyDescent="0.2">
      <c r="D42" s="95" t="s">
        <v>95</v>
      </c>
      <c r="E42" s="77">
        <f>0.08*SUM(E34:E41)</f>
        <v>143538.43665720001</v>
      </c>
    </row>
    <row r="43" spans="1:11" x14ac:dyDescent="0.2">
      <c r="A43" s="94"/>
      <c r="B43" s="94"/>
      <c r="C43" s="94"/>
      <c r="D43" s="99" t="s">
        <v>15</v>
      </c>
      <c r="E43" s="90">
        <f>SUM(E34:E42)</f>
        <v>1937768.8948722002</v>
      </c>
      <c r="G43" s="100"/>
      <c r="H43" s="100"/>
    </row>
    <row r="45" spans="1:11" x14ac:dyDescent="0.2">
      <c r="E45" s="111">
        <f>E28-E43</f>
        <v>153319.43192779855</v>
      </c>
      <c r="F45" s="112" t="s">
        <v>96</v>
      </c>
      <c r="G45" s="113"/>
    </row>
    <row r="46" spans="1:11" x14ac:dyDescent="0.2">
      <c r="E46" s="56">
        <f>E45/1.08</f>
        <v>141962.43697018383</v>
      </c>
    </row>
    <row r="47" spans="1:11" x14ac:dyDescent="0.2">
      <c r="E47" s="56"/>
    </row>
    <row r="48" spans="1:11" x14ac:dyDescent="0.2">
      <c r="C48" s="54" t="s">
        <v>97</v>
      </c>
      <c r="E48" s="56"/>
    </row>
    <row r="49" spans="3:6" x14ac:dyDescent="0.2">
      <c r="E49" s="56"/>
    </row>
    <row r="50" spans="3:6" x14ac:dyDescent="0.2">
      <c r="E50" s="56"/>
    </row>
    <row r="51" spans="3:6" x14ac:dyDescent="0.2">
      <c r="E51" s="56"/>
    </row>
    <row r="52" spans="3:6" x14ac:dyDescent="0.2">
      <c r="E52" s="56"/>
    </row>
    <row r="53" spans="3:6" x14ac:dyDescent="0.2">
      <c r="F53" s="54"/>
    </row>
    <row r="54" spans="3:6" x14ac:dyDescent="0.2">
      <c r="C54" s="100"/>
      <c r="D54" s="94"/>
      <c r="E54" s="94"/>
      <c r="F54" s="94"/>
    </row>
    <row r="55" spans="3:6" x14ac:dyDescent="0.2">
      <c r="C55" s="94"/>
      <c r="D55" s="94"/>
      <c r="E55" s="94"/>
      <c r="F55" s="94"/>
    </row>
    <row r="56" spans="3:6" x14ac:dyDescent="0.2">
      <c r="F56" s="54"/>
    </row>
    <row r="57" spans="3:6" x14ac:dyDescent="0.2">
      <c r="C57" s="94"/>
      <c r="D57" s="94"/>
      <c r="E57" s="94"/>
      <c r="F57" s="94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2020-03-13T03:00:00+00:00</UNDPPublishedDate>
    <UNDPCountryTaxHTField0 xmlns="1ed4137b-41b2-488b-8250-6d369ec27664">
      <Terms xmlns="http://schemas.microsoft.com/office/infopath/2007/PartnerControls"/>
    </UNDPCountryTaxHTField0>
    <UndpOUCode xmlns="1ed4137b-41b2-488b-8250-6d369ec27664">H70</UndpOUCode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</TermName>
          <TermId xmlns="http://schemas.microsoft.com/office/infopath/2007/PartnerControls">1c1fa43a-cb36-4844-8715-9a4cc93e1ac9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Document_x0020_Coverage_x0020_Period_x0020_Start_x0020_Date xmlns="f1161f5b-24a3-4c2d-bc81-44cb9325e8ee" xsi:nil="true"/>
    <Document_x0020_Coverage_x0020_Period_x0020_End_x0020_Date xmlns="f1161f5b-24a3-4c2d-bc81-44cb9325e8ee">2020-12-31T05:00:00+00:00</Document_x0020_Coverage_x0020_Period_x0020_End_x0020_Date>
    <Project_x0020_Number xmlns="f1161f5b-24a3-4c2d-bc81-44cb9325e8ee" xsi:nil="true"/>
    <Project_x0020_Manager xmlns="f1161f5b-24a3-4c2d-bc81-44cb9325e8ee" xsi:nil="true"/>
    <TaxCatchAll xmlns="1ed4137b-41b2-488b-8250-6d369ec27664">
      <Value>1399</Value>
      <Value>1109</Value>
      <Value>1</Value>
      <Value>763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00081451</UndpProjectNo>
    <UndpDocStatus xmlns="1ed4137b-41b2-488b-8250-6d369ec27664">Approved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H70</TermName>
          <TermId xmlns="http://schemas.microsoft.com/office/infopath/2007/PartnerControls">b0ac53eb-f76d-4258-ac4d-b117a4413a1f</TermId>
        </TermInfo>
      </Terms>
    </gc6531b704974d528487414686b72f6f>
    <_dlc_DocId xmlns="f1161f5b-24a3-4c2d-bc81-44cb9325e8ee">ATLASPDC-4-116652</_dlc_DocId>
    <_dlc_DocIdUrl xmlns="f1161f5b-24a3-4c2d-bc81-44cb9325e8ee">
      <Url>https://info.undp.org/docs/pdc/_layouts/DocIdRedir.aspx?ID=ATLASPDC-4-116652</Url>
      <Description>ATLASPDC-4-116652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4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FB4382F-FEB3-4F1C-97D3-41282FD72C69}"/>
</file>

<file path=customXml/itemProps2.xml><?xml version="1.0" encoding="utf-8"?>
<ds:datastoreItem xmlns:ds="http://schemas.openxmlformats.org/officeDocument/2006/customXml" ds:itemID="{6475497F-FEC2-419B-9EFD-F5CA472ADB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17C103-0654-4727-BAB0-86647FDCCE6C}">
  <ds:schemaRefs>
    <ds:schemaRef ds:uri="http://schemas.microsoft.com/office/2006/documentManagement/types"/>
    <ds:schemaRef ds:uri="6e409a75-b6f6-44b0-a66e-c6046ea0c3be"/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4b00b790-846c-49de-96c4-2f99bf41bdd2"/>
  </ds:schemaRefs>
</ds:datastoreItem>
</file>

<file path=customXml/itemProps4.xml><?xml version="1.0" encoding="utf-8"?>
<ds:datastoreItem xmlns:ds="http://schemas.openxmlformats.org/officeDocument/2006/customXml" ds:itemID="{85F1D033-3B0C-42DC-AE0F-8870909004EB}"/>
</file>

<file path=customXml/itemProps5.xml><?xml version="1.0" encoding="utf-8"?>
<ds:datastoreItem xmlns:ds="http://schemas.openxmlformats.org/officeDocument/2006/customXml" ds:itemID="{8FFB5EEF-B61B-453F-909F-9C629B9471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2020 initial Budget</vt:lpstr>
      <vt:lpstr>Summary</vt:lpstr>
      <vt:lpstr>Cash Flow and Balance </vt:lpstr>
      <vt:lpstr>'2020 initial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Sviatlana Shutko</dc:creator>
  <cp:lastModifiedBy>Aylin Schulz van Endert</cp:lastModifiedBy>
  <cp:lastPrinted>2020-02-05T21:54:36Z</cp:lastPrinted>
  <dcterms:created xsi:type="dcterms:W3CDTF">2020-01-31T18:57:49Z</dcterms:created>
  <dcterms:modified xsi:type="dcterms:W3CDTF">2020-02-06T20:39:56Z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/>
  </property>
  <property fmtid="{D5CDD505-2E9C-101B-9397-08002B2CF9AE}" pid="4" name="UndpDocTypeMM">
    <vt:lpwstr/>
  </property>
  <property fmtid="{D5CDD505-2E9C-101B-9397-08002B2CF9AE}" pid="5" name="UNDPDocumentCategory">
    <vt:lpwstr/>
  </property>
  <property fmtid="{D5CDD505-2E9C-101B-9397-08002B2CF9AE}" pid="6" name="UN Languages">
    <vt:lpwstr>1;#English|7f98b732-4b5b-4b70-ba90-a0eff09b5d2d</vt:lpwstr>
  </property>
  <property fmtid="{D5CDD505-2E9C-101B-9397-08002B2CF9AE}" pid="7" name="Operating Unit0">
    <vt:lpwstr>1399;#H70|b0ac53eb-f76d-4258-ac4d-b117a4413a1f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_dlc_DocIdItemGuid">
    <vt:lpwstr>f57c5a20-c39a-407c-ae8c-e32de47238eb</vt:lpwstr>
  </property>
  <property fmtid="{D5CDD505-2E9C-101B-9397-08002B2CF9AE}" pid="10" name="Atlas Document Type">
    <vt:lpwstr>1109;#Budget|1c1fa43a-cb36-4844-8715-9a4cc93e1ac9</vt:lpwstr>
  </property>
  <property fmtid="{D5CDD505-2E9C-101B-9397-08002B2CF9AE}" pid="11" name="UndpUnitMM">
    <vt:lpwstr/>
  </property>
  <property fmtid="{D5CDD505-2E9C-101B-9397-08002B2CF9AE}" pid="12" name="eRegFilingCodeMM">
    <vt:lpwstr/>
  </property>
  <property fmtid="{D5CDD505-2E9C-101B-9397-08002B2CF9AE}" pid="13" name="UNDPFocusAreas">
    <vt:lpwstr/>
  </property>
  <property fmtid="{D5CDD505-2E9C-101B-9397-08002B2CF9AE}" pid="14" name="DocumentSetDescription">
    <vt:lpwstr/>
  </property>
  <property fmtid="{D5CDD505-2E9C-101B-9397-08002B2CF9AE}" pid="15" name="UnitTaxHTField0">
    <vt:lpwstr/>
  </property>
  <property fmtid="{D5CDD505-2E9C-101B-9397-08002B2CF9AE}" pid="16" name="Unit">
    <vt:lpwstr/>
  </property>
  <property fmtid="{D5CDD505-2E9C-101B-9397-08002B2CF9AE}" pid="17" name="URL">
    <vt:lpwstr/>
  </property>
</Properties>
</file>